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drawings/drawing5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autoCompressPictures="0" defaultThemeVersion="124226"/>
  <bookViews>
    <workbookView xWindow="0" yWindow="60" windowWidth="19440" windowHeight="11700" firstSheet="6" activeTab="8"/>
  </bookViews>
  <sheets>
    <sheet name="Inoc prep" sheetId="4" r:id="rId1"/>
    <sheet name="Media" sheetId="1" r:id="rId2"/>
    <sheet name="Sampling" sheetId="3" r:id="rId3"/>
    <sheet name="Summary OD" sheetId="5" r:id="rId4"/>
    <sheet name="Kinetics" sheetId="31" r:id="rId5"/>
    <sheet name="OD" sheetId="38" r:id="rId6"/>
    <sheet name="Thiamine Samples" sheetId="39" r:id="rId7"/>
    <sheet name="pH" sheetId="11" r:id="rId8"/>
    <sheet name="Metabolomics Coding" sheetId="13" r:id="rId9"/>
    <sheet name="HPLC Summary" sheetId="20" r:id="rId10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7" i="38" l="1"/>
  <c r="D6" i="5"/>
  <c r="D103" i="5"/>
  <c r="D17" i="38"/>
  <c r="E6" i="5"/>
  <c r="E103" i="5"/>
  <c r="E17" i="38"/>
  <c r="F6" i="5"/>
  <c r="F103" i="5"/>
  <c r="F17" i="38"/>
  <c r="G6" i="5"/>
  <c r="G103" i="5"/>
  <c r="G17" i="38"/>
  <c r="H6" i="5"/>
  <c r="H103" i="5"/>
  <c r="H17" i="38"/>
  <c r="I6" i="5"/>
  <c r="I103" i="5"/>
  <c r="H113" i="5"/>
  <c r="I17" i="38"/>
  <c r="J6" i="5"/>
  <c r="J103" i="5"/>
  <c r="J17" i="38"/>
  <c r="K6" i="5"/>
  <c r="K103" i="5"/>
  <c r="K17" i="38"/>
  <c r="L6" i="5"/>
  <c r="L103" i="5"/>
  <c r="L17" i="38"/>
  <c r="M6" i="5"/>
  <c r="M103" i="5"/>
  <c r="M17" i="38"/>
  <c r="N6" i="5"/>
  <c r="N103" i="5"/>
  <c r="N17" i="38"/>
  <c r="O6" i="5"/>
  <c r="O103" i="5"/>
  <c r="I113" i="5"/>
  <c r="C23" i="38"/>
  <c r="D7" i="5"/>
  <c r="D104" i="5"/>
  <c r="D23" i="38"/>
  <c r="E7" i="5"/>
  <c r="E104" i="5"/>
  <c r="E23" i="38"/>
  <c r="F7" i="5"/>
  <c r="F104" i="5"/>
  <c r="F23" i="38"/>
  <c r="G7" i="5"/>
  <c r="G104" i="5"/>
  <c r="G23" i="38"/>
  <c r="H7" i="5"/>
  <c r="H104" i="5"/>
  <c r="H23" i="38"/>
  <c r="I7" i="5"/>
  <c r="I104" i="5"/>
  <c r="H114" i="5"/>
  <c r="I23" i="38"/>
  <c r="J7" i="5"/>
  <c r="J104" i="5"/>
  <c r="J23" i="38"/>
  <c r="K7" i="5"/>
  <c r="K104" i="5"/>
  <c r="K23" i="38"/>
  <c r="L7" i="5"/>
  <c r="L104" i="5"/>
  <c r="L23" i="38"/>
  <c r="M7" i="5"/>
  <c r="M104" i="5"/>
  <c r="M23" i="38"/>
  <c r="N7" i="5"/>
  <c r="N104" i="5"/>
  <c r="N23" i="38"/>
  <c r="O7" i="5"/>
  <c r="O104" i="5"/>
  <c r="I114" i="5"/>
  <c r="C32" i="38"/>
  <c r="D8" i="5"/>
  <c r="D105" i="5"/>
  <c r="D32" i="38"/>
  <c r="E8" i="5"/>
  <c r="E105" i="5"/>
  <c r="E32" i="38"/>
  <c r="F8" i="5"/>
  <c r="F105" i="5"/>
  <c r="F32" i="38"/>
  <c r="G8" i="5"/>
  <c r="G105" i="5"/>
  <c r="G32" i="38"/>
  <c r="H8" i="5"/>
  <c r="H105" i="5"/>
  <c r="H32" i="38"/>
  <c r="I8" i="5"/>
  <c r="I105" i="5"/>
  <c r="H115" i="5"/>
  <c r="I32" i="38"/>
  <c r="J8" i="5"/>
  <c r="J105" i="5"/>
  <c r="J32" i="38"/>
  <c r="K8" i="5"/>
  <c r="K105" i="5"/>
  <c r="K32" i="38"/>
  <c r="L8" i="5"/>
  <c r="L105" i="5"/>
  <c r="L32" i="38"/>
  <c r="M8" i="5"/>
  <c r="M105" i="5"/>
  <c r="M32" i="38"/>
  <c r="N8" i="5"/>
  <c r="N105" i="5"/>
  <c r="N32" i="38"/>
  <c r="O8" i="5"/>
  <c r="O105" i="5"/>
  <c r="I115" i="5"/>
  <c r="C38" i="38"/>
  <c r="D9" i="5"/>
  <c r="D106" i="5"/>
  <c r="D38" i="38"/>
  <c r="E9" i="5"/>
  <c r="E106" i="5"/>
  <c r="E38" i="38"/>
  <c r="F9" i="5"/>
  <c r="F106" i="5"/>
  <c r="F38" i="38"/>
  <c r="G9" i="5"/>
  <c r="G106" i="5"/>
  <c r="G38" i="38"/>
  <c r="H9" i="5"/>
  <c r="H106" i="5"/>
  <c r="H38" i="38"/>
  <c r="I9" i="5"/>
  <c r="I106" i="5"/>
  <c r="H116" i="5"/>
  <c r="I38" i="38"/>
  <c r="J9" i="5"/>
  <c r="J106" i="5"/>
  <c r="J38" i="38"/>
  <c r="K9" i="5"/>
  <c r="K106" i="5"/>
  <c r="K38" i="38"/>
  <c r="L9" i="5"/>
  <c r="L106" i="5"/>
  <c r="L38" i="38"/>
  <c r="M9" i="5"/>
  <c r="M106" i="5"/>
  <c r="M38" i="38"/>
  <c r="N9" i="5"/>
  <c r="N106" i="5"/>
  <c r="N38" i="38"/>
  <c r="O9" i="5"/>
  <c r="O106" i="5"/>
  <c r="I116" i="5"/>
  <c r="C44" i="38"/>
  <c r="D10" i="5"/>
  <c r="D107" i="5"/>
  <c r="D44" i="38"/>
  <c r="E10" i="5"/>
  <c r="E107" i="5"/>
  <c r="E44" i="38"/>
  <c r="F10" i="5"/>
  <c r="F107" i="5"/>
  <c r="F44" i="38"/>
  <c r="G10" i="5"/>
  <c r="G107" i="5"/>
  <c r="G44" i="38"/>
  <c r="H10" i="5"/>
  <c r="H107" i="5"/>
  <c r="H44" i="38"/>
  <c r="I10" i="5"/>
  <c r="I107" i="5"/>
  <c r="H117" i="5"/>
  <c r="I44" i="38"/>
  <c r="J10" i="5"/>
  <c r="J107" i="5"/>
  <c r="J44" i="38"/>
  <c r="K10" i="5"/>
  <c r="K107" i="5"/>
  <c r="K44" i="38"/>
  <c r="L10" i="5"/>
  <c r="L107" i="5"/>
  <c r="L44" i="38"/>
  <c r="M10" i="5"/>
  <c r="M107" i="5"/>
  <c r="M44" i="38"/>
  <c r="N10" i="5"/>
  <c r="N107" i="5"/>
  <c r="N44" i="38"/>
  <c r="O10" i="5"/>
  <c r="O107" i="5"/>
  <c r="I117" i="5"/>
  <c r="I8" i="38"/>
  <c r="J5" i="5"/>
  <c r="J102" i="5"/>
  <c r="J8" i="38"/>
  <c r="K5" i="5"/>
  <c r="K102" i="5"/>
  <c r="K8" i="38"/>
  <c r="L5" i="5"/>
  <c r="L102" i="5"/>
  <c r="L8" i="38"/>
  <c r="M5" i="5"/>
  <c r="M102" i="5"/>
  <c r="M8" i="38"/>
  <c r="N5" i="5"/>
  <c r="N102" i="5"/>
  <c r="N8" i="38"/>
  <c r="O5" i="5"/>
  <c r="O102" i="5"/>
  <c r="I112" i="5"/>
  <c r="C8" i="38"/>
  <c r="D5" i="5"/>
  <c r="D102" i="5"/>
  <c r="D8" i="38"/>
  <c r="E5" i="5"/>
  <c r="E102" i="5"/>
  <c r="E8" i="38"/>
  <c r="F5" i="5"/>
  <c r="F102" i="5"/>
  <c r="F8" i="38"/>
  <c r="G5" i="5"/>
  <c r="G102" i="5"/>
  <c r="G8" i="38"/>
  <c r="H5" i="5"/>
  <c r="H102" i="5"/>
  <c r="H8" i="38"/>
  <c r="I5" i="5"/>
  <c r="I102" i="5"/>
  <c r="H112" i="5"/>
  <c r="D113" i="5"/>
  <c r="E113" i="5"/>
  <c r="D114" i="5"/>
  <c r="E114" i="5"/>
  <c r="D115" i="5"/>
  <c r="E115" i="5"/>
  <c r="D116" i="5"/>
  <c r="E116" i="5"/>
  <c r="D117" i="5"/>
  <c r="E117" i="5"/>
  <c r="E112" i="5"/>
  <c r="D112" i="5"/>
  <c r="H29" i="39"/>
  <c r="H28" i="39"/>
  <c r="H27" i="39"/>
  <c r="H26" i="39"/>
  <c r="H25" i="39"/>
  <c r="H24" i="39"/>
  <c r="D29" i="39"/>
  <c r="D28" i="39"/>
  <c r="D27" i="39"/>
  <c r="D26" i="39"/>
  <c r="D25" i="39"/>
  <c r="D24" i="39"/>
  <c r="D8" i="39"/>
  <c r="D9" i="39"/>
  <c r="D10" i="39"/>
  <c r="D11" i="39"/>
  <c r="D12" i="39"/>
  <c r="D13" i="39"/>
  <c r="D14" i="39"/>
  <c r="D15" i="39"/>
  <c r="D16" i="39"/>
  <c r="D17" i="39"/>
  <c r="D18" i="39"/>
  <c r="D7" i="39"/>
  <c r="E54" i="5"/>
  <c r="O65" i="5"/>
  <c r="H86" i="5"/>
  <c r="I86" i="5"/>
  <c r="O54" i="5"/>
  <c r="N55" i="5"/>
  <c r="O55" i="5"/>
  <c r="R66" i="5"/>
  <c r="R65" i="5"/>
  <c r="B54" i="5"/>
  <c r="N65" i="5"/>
  <c r="B58" i="5"/>
  <c r="C58" i="5"/>
  <c r="D58" i="5"/>
  <c r="E58" i="5"/>
  <c r="F58" i="5"/>
  <c r="G58" i="5"/>
  <c r="H58" i="5"/>
  <c r="I58" i="5"/>
  <c r="J58" i="5"/>
  <c r="K58" i="5"/>
  <c r="L58" i="5"/>
  <c r="M58" i="5"/>
  <c r="B59" i="5"/>
  <c r="C59" i="5"/>
  <c r="D59" i="5"/>
  <c r="E59" i="5"/>
  <c r="F59" i="5"/>
  <c r="G59" i="5"/>
  <c r="H59" i="5"/>
  <c r="I59" i="5"/>
  <c r="J59" i="5"/>
  <c r="K59" i="5"/>
  <c r="L59" i="5"/>
  <c r="M59" i="5"/>
  <c r="B60" i="5"/>
  <c r="C60" i="5"/>
  <c r="D60" i="5"/>
  <c r="E60" i="5"/>
  <c r="F60" i="5"/>
  <c r="G60" i="5"/>
  <c r="H60" i="5"/>
  <c r="I60" i="5"/>
  <c r="J60" i="5"/>
  <c r="K60" i="5"/>
  <c r="L60" i="5"/>
  <c r="M60" i="5"/>
  <c r="B61" i="5"/>
  <c r="C61" i="5"/>
  <c r="D61" i="5"/>
  <c r="E61" i="5"/>
  <c r="F61" i="5"/>
  <c r="G61" i="5"/>
  <c r="H61" i="5"/>
  <c r="I61" i="5"/>
  <c r="J61" i="5"/>
  <c r="K61" i="5"/>
  <c r="L61" i="5"/>
  <c r="M61" i="5"/>
  <c r="C57" i="5"/>
  <c r="D57" i="5"/>
  <c r="E57" i="5"/>
  <c r="F57" i="5"/>
  <c r="G57" i="5"/>
  <c r="H57" i="5"/>
  <c r="I57" i="5"/>
  <c r="J57" i="5"/>
  <c r="K57" i="5"/>
  <c r="L57" i="5"/>
  <c r="M57" i="5"/>
  <c r="B57" i="5"/>
  <c r="B55" i="5"/>
  <c r="C55" i="5"/>
  <c r="D55" i="5"/>
  <c r="E55" i="5"/>
  <c r="F55" i="5"/>
  <c r="G55" i="5"/>
  <c r="H55" i="5"/>
  <c r="I55" i="5"/>
  <c r="J55" i="5"/>
  <c r="K55" i="5"/>
  <c r="L55" i="5"/>
  <c r="M55" i="5"/>
  <c r="B56" i="5"/>
  <c r="C56" i="5"/>
  <c r="D56" i="5"/>
  <c r="E56" i="5"/>
  <c r="F56" i="5"/>
  <c r="G56" i="5"/>
  <c r="H56" i="5"/>
  <c r="I56" i="5"/>
  <c r="J56" i="5"/>
  <c r="K56" i="5"/>
  <c r="L56" i="5"/>
  <c r="M56" i="5"/>
  <c r="C54" i="5"/>
  <c r="D54" i="5"/>
  <c r="F54" i="5"/>
  <c r="G54" i="5"/>
  <c r="H54" i="5"/>
  <c r="I54" i="5"/>
  <c r="J54" i="5"/>
  <c r="K54" i="5"/>
  <c r="L54" i="5"/>
  <c r="M54" i="5"/>
  <c r="B10" i="5"/>
  <c r="B9" i="5"/>
  <c r="B8" i="5"/>
  <c r="B7" i="5"/>
  <c r="B6" i="5"/>
  <c r="B5" i="5"/>
  <c r="H15" i="5"/>
  <c r="I15" i="5"/>
  <c r="H16" i="5"/>
  <c r="I16" i="5"/>
  <c r="H17" i="5"/>
  <c r="I17" i="5"/>
  <c r="H18" i="5"/>
  <c r="I18" i="5"/>
  <c r="H19" i="5"/>
  <c r="I19" i="5"/>
  <c r="I14" i="5"/>
  <c r="H14" i="5"/>
  <c r="D15" i="5"/>
  <c r="E15" i="5"/>
  <c r="D16" i="5"/>
  <c r="E16" i="5"/>
  <c r="D17" i="5"/>
  <c r="E17" i="5"/>
  <c r="D18" i="5"/>
  <c r="E18" i="5"/>
  <c r="D19" i="5"/>
  <c r="E19" i="5"/>
  <c r="E14" i="5"/>
  <c r="D14" i="5"/>
  <c r="B50" i="38"/>
  <c r="B51" i="38"/>
  <c r="B52" i="38"/>
  <c r="B53" i="38"/>
  <c r="B54" i="38"/>
  <c r="B36" i="20"/>
  <c r="AE7" i="20"/>
  <c r="C36" i="20"/>
  <c r="AF7" i="20"/>
  <c r="D36" i="20"/>
  <c r="AG7" i="20"/>
  <c r="AR7" i="20"/>
  <c r="E36" i="20"/>
  <c r="AH7" i="20"/>
  <c r="F36" i="20"/>
  <c r="AI7" i="20"/>
  <c r="G36" i="20"/>
  <c r="AJ7" i="20"/>
  <c r="AS7" i="20"/>
  <c r="H36" i="20"/>
  <c r="H31" i="20"/>
  <c r="AK7" i="20"/>
  <c r="I36" i="20"/>
  <c r="I31" i="20"/>
  <c r="AL7" i="20"/>
  <c r="J36" i="20"/>
  <c r="J31" i="20"/>
  <c r="AM7" i="20"/>
  <c r="AT7" i="20"/>
  <c r="K36" i="20"/>
  <c r="K31" i="20"/>
  <c r="AN7" i="20"/>
  <c r="L36" i="20"/>
  <c r="L31" i="20"/>
  <c r="AO7" i="20"/>
  <c r="M36" i="20"/>
  <c r="M31" i="20"/>
  <c r="AP7" i="20"/>
  <c r="AU7" i="20"/>
  <c r="AV7" i="20"/>
  <c r="AW7" i="20"/>
  <c r="AX7" i="20"/>
  <c r="AY7" i="20"/>
  <c r="AZ7" i="20"/>
  <c r="BA7" i="20"/>
  <c r="BB7" i="20"/>
  <c r="BC7" i="20"/>
  <c r="H4" i="20"/>
  <c r="H9" i="20"/>
  <c r="AK4" i="20"/>
  <c r="I4" i="20"/>
  <c r="I9" i="20"/>
  <c r="AL4" i="20"/>
  <c r="J4" i="20"/>
  <c r="J9" i="20"/>
  <c r="AM4" i="20"/>
  <c r="AT4" i="20"/>
  <c r="AX4" i="20"/>
  <c r="BB4" i="20"/>
  <c r="E4" i="20"/>
  <c r="E9" i="20"/>
  <c r="AH4" i="20"/>
  <c r="F4" i="20"/>
  <c r="F9" i="20"/>
  <c r="AI4" i="20"/>
  <c r="G4" i="20"/>
  <c r="G9" i="20"/>
  <c r="AJ4" i="20"/>
  <c r="AS4" i="20"/>
  <c r="AW4" i="20"/>
  <c r="BA4" i="20"/>
  <c r="B4" i="20"/>
  <c r="B9" i="20"/>
  <c r="AE4" i="20"/>
  <c r="C4" i="20"/>
  <c r="C9" i="20"/>
  <c r="AF4" i="20"/>
  <c r="D4" i="20"/>
  <c r="D9" i="20"/>
  <c r="AG4" i="20"/>
  <c r="AR4" i="20"/>
  <c r="AV4" i="20"/>
  <c r="AZ4" i="20"/>
  <c r="K4" i="20"/>
  <c r="K9" i="20"/>
  <c r="AN4" i="20"/>
  <c r="L4" i="20"/>
  <c r="L9" i="20"/>
  <c r="AO4" i="20"/>
  <c r="M4" i="20"/>
  <c r="M9" i="20"/>
  <c r="AP4" i="20"/>
  <c r="AU4" i="20"/>
  <c r="AY4" i="20"/>
  <c r="C18" i="20"/>
  <c r="C13" i="20"/>
  <c r="AF5" i="20"/>
  <c r="D18" i="20"/>
  <c r="D13" i="20"/>
  <c r="AG5" i="20"/>
  <c r="E18" i="20"/>
  <c r="E13" i="20"/>
  <c r="AH5" i="20"/>
  <c r="F18" i="20"/>
  <c r="F13" i="20"/>
  <c r="AI5" i="20"/>
  <c r="G18" i="20"/>
  <c r="G13" i="20"/>
  <c r="AJ5" i="20"/>
  <c r="H18" i="20"/>
  <c r="H13" i="20"/>
  <c r="AK5" i="20"/>
  <c r="I18" i="20"/>
  <c r="I13" i="20"/>
  <c r="AL5" i="20"/>
  <c r="J18" i="20"/>
  <c r="J13" i="20"/>
  <c r="AM5" i="20"/>
  <c r="K18" i="20"/>
  <c r="K13" i="20"/>
  <c r="AN5" i="20"/>
  <c r="L18" i="20"/>
  <c r="L13" i="20"/>
  <c r="AO5" i="20"/>
  <c r="M18" i="20"/>
  <c r="M13" i="20"/>
  <c r="AP5" i="20"/>
  <c r="C27" i="20"/>
  <c r="AF6" i="20"/>
  <c r="D27" i="20"/>
  <c r="AG6" i="20"/>
  <c r="E27" i="20"/>
  <c r="AH6" i="20"/>
  <c r="F27" i="20"/>
  <c r="AI6" i="20"/>
  <c r="G27" i="20"/>
  <c r="AJ6" i="20"/>
  <c r="H27" i="20"/>
  <c r="AK6" i="20"/>
  <c r="I27" i="20"/>
  <c r="AL6" i="20"/>
  <c r="J27" i="20"/>
  <c r="AM6" i="20"/>
  <c r="K27" i="20"/>
  <c r="AN6" i="20"/>
  <c r="L27" i="20"/>
  <c r="AO6" i="20"/>
  <c r="M27" i="20"/>
  <c r="AP6" i="20"/>
  <c r="B27" i="20"/>
  <c r="AE6" i="20"/>
  <c r="B18" i="20"/>
  <c r="B13" i="20"/>
  <c r="AE5" i="20"/>
  <c r="P27" i="20"/>
  <c r="P22" i="20"/>
  <c r="AA6" i="20"/>
  <c r="Q27" i="20"/>
  <c r="Q22" i="20"/>
  <c r="AB6" i="20"/>
  <c r="R27" i="20"/>
  <c r="R22" i="20"/>
  <c r="AC6" i="20"/>
  <c r="P36" i="20"/>
  <c r="P31" i="20"/>
  <c r="AA7" i="20"/>
  <c r="Q36" i="20"/>
  <c r="Q31" i="20"/>
  <c r="AB7" i="20"/>
  <c r="R36" i="20"/>
  <c r="R31" i="20"/>
  <c r="AC7" i="20"/>
  <c r="O36" i="20"/>
  <c r="O31" i="20"/>
  <c r="Z7" i="20"/>
  <c r="O27" i="20"/>
  <c r="O22" i="20"/>
  <c r="Z6" i="20"/>
  <c r="O18" i="20"/>
  <c r="O13" i="20"/>
  <c r="Z5" i="20"/>
  <c r="P4" i="20"/>
  <c r="P9" i="20"/>
  <c r="AA4" i="20"/>
  <c r="Q4" i="20"/>
  <c r="Q9" i="20"/>
  <c r="AB4" i="20"/>
  <c r="R4" i="20"/>
  <c r="R9" i="20"/>
  <c r="AC4" i="20"/>
  <c r="O4" i="20"/>
  <c r="O9" i="20"/>
  <c r="Z4" i="20"/>
  <c r="V36" i="20"/>
  <c r="T9" i="20"/>
  <c r="M35" i="20"/>
  <c r="M26" i="20"/>
  <c r="M17" i="20"/>
  <c r="M8" i="20"/>
  <c r="L35" i="20"/>
  <c r="L26" i="20"/>
  <c r="L17" i="20"/>
  <c r="L8" i="20"/>
  <c r="K35" i="20"/>
  <c r="K26" i="20"/>
  <c r="K17" i="20"/>
  <c r="K8" i="20"/>
  <c r="J35" i="20"/>
  <c r="J26" i="20"/>
  <c r="J17" i="20"/>
  <c r="J8" i="20"/>
  <c r="I35" i="20"/>
  <c r="I26" i="20"/>
  <c r="I17" i="20"/>
  <c r="I8" i="20"/>
  <c r="H35" i="20"/>
  <c r="H26" i="20"/>
  <c r="H17" i="20"/>
  <c r="H8" i="20"/>
  <c r="G35" i="20"/>
  <c r="E35" i="20"/>
  <c r="F35" i="20"/>
  <c r="U35" i="20"/>
  <c r="G26" i="20"/>
  <c r="G17" i="20"/>
  <c r="G8" i="20"/>
  <c r="F26" i="20"/>
  <c r="F17" i="20"/>
  <c r="F8" i="20"/>
  <c r="E8" i="20"/>
  <c r="U8" i="20"/>
  <c r="E26" i="20"/>
  <c r="E17" i="20"/>
  <c r="D35" i="20"/>
  <c r="D26" i="20"/>
  <c r="D17" i="20"/>
  <c r="D8" i="20"/>
  <c r="C35" i="20"/>
  <c r="C26" i="20"/>
  <c r="C17" i="20"/>
  <c r="C8" i="20"/>
  <c r="B35" i="20"/>
  <c r="B26" i="20"/>
  <c r="B17" i="20"/>
  <c r="B8" i="20"/>
  <c r="M34" i="20"/>
  <c r="M25" i="20"/>
  <c r="M16" i="20"/>
  <c r="M7" i="20"/>
  <c r="L34" i="20"/>
  <c r="L25" i="20"/>
  <c r="L16" i="20"/>
  <c r="L7" i="20"/>
  <c r="K34" i="20"/>
  <c r="K25" i="20"/>
  <c r="K16" i="20"/>
  <c r="K7" i="20"/>
  <c r="J34" i="20"/>
  <c r="J25" i="20"/>
  <c r="J16" i="20"/>
  <c r="J7" i="20"/>
  <c r="I34" i="20"/>
  <c r="I25" i="20"/>
  <c r="I16" i="20"/>
  <c r="I7" i="20"/>
  <c r="H34" i="20"/>
  <c r="H25" i="20"/>
  <c r="H16" i="20"/>
  <c r="H7" i="20"/>
  <c r="G34" i="20"/>
  <c r="G25" i="20"/>
  <c r="G16" i="20"/>
  <c r="G7" i="20"/>
  <c r="F34" i="20"/>
  <c r="E34" i="20"/>
  <c r="U34" i="20"/>
  <c r="F25" i="20"/>
  <c r="E25" i="20"/>
  <c r="U25" i="20"/>
  <c r="F16" i="20"/>
  <c r="F7" i="20"/>
  <c r="E16" i="20"/>
  <c r="E7" i="20"/>
  <c r="D34" i="20"/>
  <c r="D25" i="20"/>
  <c r="D16" i="20"/>
  <c r="D7" i="20"/>
  <c r="C34" i="20"/>
  <c r="C25" i="20"/>
  <c r="C16" i="20"/>
  <c r="C7" i="20"/>
  <c r="B34" i="20"/>
  <c r="B25" i="20"/>
  <c r="B16" i="20"/>
  <c r="T16" i="20"/>
  <c r="B7" i="20"/>
  <c r="M33" i="20"/>
  <c r="M24" i="20"/>
  <c r="M15" i="20"/>
  <c r="M6" i="20"/>
  <c r="L33" i="20"/>
  <c r="K33" i="20"/>
  <c r="R33" i="20"/>
  <c r="L24" i="20"/>
  <c r="L15" i="20"/>
  <c r="L6" i="20"/>
  <c r="K24" i="20"/>
  <c r="R24" i="20"/>
  <c r="K15" i="20"/>
  <c r="K6" i="20"/>
  <c r="J33" i="20"/>
  <c r="J24" i="20"/>
  <c r="J15" i="20"/>
  <c r="J6" i="20"/>
  <c r="I33" i="20"/>
  <c r="I24" i="20"/>
  <c r="H24" i="20"/>
  <c r="Q24" i="20"/>
  <c r="I15" i="20"/>
  <c r="I6" i="20"/>
  <c r="H33" i="20"/>
  <c r="H15" i="20"/>
  <c r="Q15" i="20"/>
  <c r="H6" i="20"/>
  <c r="G33" i="20"/>
  <c r="G24" i="20"/>
  <c r="G15" i="20"/>
  <c r="G6" i="20"/>
  <c r="F33" i="20"/>
  <c r="E33" i="20"/>
  <c r="U33" i="20"/>
  <c r="F24" i="20"/>
  <c r="F15" i="20"/>
  <c r="F6" i="20"/>
  <c r="B6" i="20"/>
  <c r="D6" i="20"/>
  <c r="T6" i="20"/>
  <c r="O6" i="20"/>
  <c r="E24" i="20"/>
  <c r="E15" i="20"/>
  <c r="E6" i="20"/>
  <c r="D33" i="20"/>
  <c r="D24" i="20"/>
  <c r="D15" i="20"/>
  <c r="C33" i="20"/>
  <c r="C24" i="20"/>
  <c r="C15" i="20"/>
  <c r="C6" i="20"/>
  <c r="B33" i="20"/>
  <c r="T33" i="20"/>
  <c r="B24" i="20"/>
  <c r="T24" i="20"/>
  <c r="B15" i="20"/>
  <c r="T15" i="20"/>
  <c r="M32" i="20"/>
  <c r="M23" i="20"/>
  <c r="M14" i="20"/>
  <c r="K14" i="20"/>
  <c r="L14" i="20"/>
  <c r="R14" i="20"/>
  <c r="M5" i="20"/>
  <c r="L32" i="20"/>
  <c r="L23" i="20"/>
  <c r="K23" i="20"/>
  <c r="W23" i="20"/>
  <c r="L5" i="20"/>
  <c r="K32" i="20"/>
  <c r="W32" i="20"/>
  <c r="K5" i="20"/>
  <c r="J32" i="20"/>
  <c r="J23" i="20"/>
  <c r="H23" i="20"/>
  <c r="I23" i="20"/>
  <c r="Q23" i="20"/>
  <c r="J14" i="20"/>
  <c r="J5" i="20"/>
  <c r="I32" i="20"/>
  <c r="I14" i="20"/>
  <c r="H14" i="20"/>
  <c r="Q14" i="20"/>
  <c r="I5" i="20"/>
  <c r="G32" i="20"/>
  <c r="E32" i="20"/>
  <c r="F32" i="20"/>
  <c r="P32" i="20"/>
  <c r="G23" i="20"/>
  <c r="H32" i="20"/>
  <c r="H5" i="20"/>
  <c r="G14" i="20"/>
  <c r="G5" i="20"/>
  <c r="F23" i="20"/>
  <c r="F14" i="20"/>
  <c r="F5" i="20"/>
  <c r="E23" i="20"/>
  <c r="E14" i="20"/>
  <c r="U14" i="20"/>
  <c r="E5" i="20"/>
  <c r="P5" i="20"/>
  <c r="D32" i="20"/>
  <c r="D23" i="20"/>
  <c r="D14" i="20"/>
  <c r="D5" i="20"/>
  <c r="C32" i="20"/>
  <c r="C23" i="20"/>
  <c r="C14" i="20"/>
  <c r="B14" i="20"/>
  <c r="T14" i="20"/>
  <c r="C5" i="20"/>
  <c r="B32" i="20"/>
  <c r="B23" i="20"/>
  <c r="T23" i="20"/>
  <c r="B5" i="20"/>
  <c r="W13" i="20"/>
  <c r="V31" i="20"/>
  <c r="Q13" i="20"/>
  <c r="U4" i="20"/>
  <c r="T4" i="20"/>
  <c r="W36" i="20"/>
  <c r="U36" i="20"/>
  <c r="T36" i="20"/>
  <c r="W35" i="20"/>
  <c r="V35" i="20"/>
  <c r="T35" i="20"/>
  <c r="R35" i="20"/>
  <c r="Q35" i="20"/>
  <c r="P35" i="20"/>
  <c r="O35" i="20"/>
  <c r="W34" i="20"/>
  <c r="V34" i="20"/>
  <c r="T34" i="20"/>
  <c r="R34" i="20"/>
  <c r="Q34" i="20"/>
  <c r="P34" i="20"/>
  <c r="O34" i="20"/>
  <c r="W33" i="20"/>
  <c r="V33" i="20"/>
  <c r="Q33" i="20"/>
  <c r="P33" i="20"/>
  <c r="O33" i="20"/>
  <c r="U32" i="20"/>
  <c r="T32" i="20"/>
  <c r="R32" i="20"/>
  <c r="O32" i="20"/>
  <c r="W31" i="20"/>
  <c r="U31" i="20"/>
  <c r="T31" i="20"/>
  <c r="W27" i="20"/>
  <c r="V27" i="20"/>
  <c r="U27" i="20"/>
  <c r="T27" i="20"/>
  <c r="W26" i="20"/>
  <c r="V26" i="20"/>
  <c r="U26" i="20"/>
  <c r="T26" i="20"/>
  <c r="R26" i="20"/>
  <c r="Q26" i="20"/>
  <c r="P26" i="20"/>
  <c r="O26" i="20"/>
  <c r="W25" i="20"/>
  <c r="V25" i="20"/>
  <c r="T25" i="20"/>
  <c r="R25" i="20"/>
  <c r="Q25" i="20"/>
  <c r="O25" i="20"/>
  <c r="W24" i="20"/>
  <c r="V24" i="20"/>
  <c r="U24" i="20"/>
  <c r="O24" i="20"/>
  <c r="U23" i="20"/>
  <c r="R23" i="20"/>
  <c r="P23" i="20"/>
  <c r="W22" i="20"/>
  <c r="V22" i="20"/>
  <c r="U22" i="20"/>
  <c r="T22" i="20"/>
  <c r="W18" i="20"/>
  <c r="V18" i="20"/>
  <c r="U18" i="20"/>
  <c r="T18" i="20"/>
  <c r="R18" i="20"/>
  <c r="Q18" i="20"/>
  <c r="P18" i="20"/>
  <c r="W17" i="20"/>
  <c r="V17" i="20"/>
  <c r="U17" i="20"/>
  <c r="T17" i="20"/>
  <c r="R17" i="20"/>
  <c r="Q17" i="20"/>
  <c r="P17" i="20"/>
  <c r="O17" i="20"/>
  <c r="W16" i="20"/>
  <c r="V16" i="20"/>
  <c r="U16" i="20"/>
  <c r="R16" i="20"/>
  <c r="Q16" i="20"/>
  <c r="P16" i="20"/>
  <c r="O16" i="20"/>
  <c r="W15" i="20"/>
  <c r="V15" i="20"/>
  <c r="U15" i="20"/>
  <c r="R15" i="20"/>
  <c r="P15" i="20"/>
  <c r="W14" i="20"/>
  <c r="V14" i="20"/>
  <c r="P14" i="20"/>
  <c r="O14" i="20"/>
  <c r="R13" i="20"/>
  <c r="P13" i="20"/>
  <c r="T5" i="20"/>
  <c r="U5" i="20"/>
  <c r="V5" i="20"/>
  <c r="W5" i="20"/>
  <c r="U6" i="20"/>
  <c r="V6" i="20"/>
  <c r="W6" i="20"/>
  <c r="T7" i="20"/>
  <c r="U7" i="20"/>
  <c r="V7" i="20"/>
  <c r="W7" i="20"/>
  <c r="T8" i="20"/>
  <c r="V8" i="20"/>
  <c r="W8" i="20"/>
  <c r="U9" i="20"/>
  <c r="V9" i="20"/>
  <c r="W9" i="20"/>
  <c r="W4" i="20"/>
  <c r="V4" i="20"/>
  <c r="O5" i="20"/>
  <c r="Q5" i="20"/>
  <c r="R5" i="20"/>
  <c r="P6" i="20"/>
  <c r="Q6" i="20"/>
  <c r="R6" i="20"/>
  <c r="O7" i="20"/>
  <c r="P7" i="20"/>
  <c r="Q7" i="20"/>
  <c r="R7" i="20"/>
  <c r="O8" i="20"/>
  <c r="Q8" i="20"/>
  <c r="R8" i="20"/>
  <c r="P8" i="20"/>
  <c r="P25" i="20"/>
  <c r="P24" i="20"/>
  <c r="O15" i="20"/>
  <c r="V32" i="20"/>
  <c r="V23" i="20"/>
  <c r="Q32" i="20"/>
  <c r="O23" i="20"/>
  <c r="V13" i="20"/>
  <c r="U13" i="20"/>
  <c r="T13" i="20"/>
  <c r="M115" i="5"/>
  <c r="N112" i="5"/>
  <c r="R112" i="5"/>
  <c r="O112" i="5"/>
  <c r="S112" i="5"/>
  <c r="M112" i="5"/>
  <c r="Q112" i="5"/>
  <c r="L112" i="5"/>
  <c r="P112" i="5"/>
  <c r="B20" i="1"/>
  <c r="E20" i="1"/>
  <c r="E22" i="1"/>
  <c r="F9" i="1"/>
  <c r="G9" i="1"/>
  <c r="G10" i="1"/>
  <c r="G11" i="1"/>
  <c r="G12" i="1"/>
  <c r="F10" i="1"/>
  <c r="H92" i="5"/>
  <c r="I92" i="5"/>
  <c r="H93" i="5"/>
  <c r="I93" i="5"/>
  <c r="H94" i="5"/>
  <c r="I94" i="5"/>
  <c r="H95" i="5"/>
  <c r="I95" i="5"/>
  <c r="H96" i="5"/>
  <c r="I96" i="5"/>
  <c r="N108" i="5"/>
  <c r="N12" i="31"/>
  <c r="N111" i="31"/>
  <c r="H97" i="5"/>
  <c r="I97" i="5"/>
  <c r="Z54" i="5"/>
  <c r="M113" i="5"/>
  <c r="Q113" i="5"/>
  <c r="J7" i="31"/>
  <c r="L7" i="31"/>
  <c r="N113" i="5"/>
  <c r="R113" i="5"/>
  <c r="L114" i="5"/>
  <c r="P114" i="5"/>
  <c r="F9" i="31"/>
  <c r="H9" i="31"/>
  <c r="O9" i="31"/>
  <c r="G10" i="31"/>
  <c r="M116" i="5"/>
  <c r="Q116" i="5"/>
  <c r="O116" i="5"/>
  <c r="S116" i="5"/>
  <c r="D11" i="31"/>
  <c r="I11" i="31"/>
  <c r="E6" i="31"/>
  <c r="E107" i="31"/>
  <c r="C93" i="31"/>
  <c r="C90" i="31"/>
  <c r="C92" i="31"/>
  <c r="E106" i="31"/>
  <c r="E108" i="31"/>
  <c r="E109" i="31"/>
  <c r="E110" i="31"/>
  <c r="AS6" i="20"/>
  <c r="AW6" i="20"/>
  <c r="BA6" i="20"/>
  <c r="G167" i="5"/>
  <c r="H167" i="5"/>
  <c r="I167" i="5"/>
  <c r="J167" i="5"/>
  <c r="K167" i="5"/>
  <c r="L167" i="5"/>
  <c r="M167" i="5"/>
  <c r="N167" i="5"/>
  <c r="O167" i="5"/>
  <c r="D167" i="5"/>
  <c r="E167" i="5"/>
  <c r="F167" i="5"/>
  <c r="H149" i="5"/>
  <c r="G162" i="5"/>
  <c r="H89" i="5"/>
  <c r="I89" i="5"/>
  <c r="G164" i="5"/>
  <c r="D185" i="5"/>
  <c r="D186" i="5"/>
  <c r="D188" i="5"/>
  <c r="H150" i="5"/>
  <c r="H162" i="5"/>
  <c r="H90" i="5"/>
  <c r="I90" i="5"/>
  <c r="H164" i="5"/>
  <c r="H151" i="5"/>
  <c r="I162" i="5"/>
  <c r="H91" i="5"/>
  <c r="I91" i="5"/>
  <c r="I108" i="5"/>
  <c r="I12" i="31"/>
  <c r="I111" i="31"/>
  <c r="I164" i="5"/>
  <c r="AS5" i="20"/>
  <c r="AW5" i="20"/>
  <c r="BA5" i="20"/>
  <c r="AA5" i="20"/>
  <c r="AB5" i="20"/>
  <c r="AC5" i="20"/>
  <c r="E179" i="5"/>
  <c r="F179" i="5"/>
  <c r="G179" i="5"/>
  <c r="B63" i="20"/>
  <c r="B91" i="20"/>
  <c r="K129" i="31"/>
  <c r="K130" i="31"/>
  <c r="K131" i="31"/>
  <c r="K128" i="31"/>
  <c r="H148" i="5"/>
  <c r="F164" i="5"/>
  <c r="H88" i="5"/>
  <c r="I88" i="5"/>
  <c r="F162" i="5"/>
  <c r="H156" i="5"/>
  <c r="N164" i="5"/>
  <c r="H153" i="5"/>
  <c r="K164" i="5"/>
  <c r="H146" i="5"/>
  <c r="D164" i="5"/>
  <c r="H157" i="5"/>
  <c r="H155" i="5"/>
  <c r="H154" i="5"/>
  <c r="H152" i="5"/>
  <c r="H147" i="5"/>
  <c r="E162" i="5"/>
  <c r="M162" i="5"/>
  <c r="J162" i="5"/>
  <c r="N162" i="5"/>
  <c r="K162" i="5"/>
  <c r="O162" i="5"/>
  <c r="D162" i="5"/>
  <c r="L162" i="5"/>
  <c r="A12" i="31"/>
  <c r="O106" i="31"/>
  <c r="L106" i="31"/>
  <c r="K106" i="31"/>
  <c r="H106" i="31"/>
  <c r="G106" i="31"/>
  <c r="D106" i="31"/>
  <c r="O88" i="31"/>
  <c r="N88" i="31"/>
  <c r="M88" i="31"/>
  <c r="L88" i="31"/>
  <c r="K88" i="31"/>
  <c r="J88" i="31"/>
  <c r="I88" i="31"/>
  <c r="H88" i="31"/>
  <c r="G88" i="31"/>
  <c r="C38" i="31"/>
  <c r="C35" i="31"/>
  <c r="C37" i="31"/>
  <c r="M43" i="31"/>
  <c r="M45" i="31"/>
  <c r="M47" i="31"/>
  <c r="N43" i="31"/>
  <c r="N45" i="31"/>
  <c r="N47" i="31"/>
  <c r="O44" i="31"/>
  <c r="O46" i="31"/>
  <c r="J43" i="31"/>
  <c r="J44" i="31"/>
  <c r="J45" i="31"/>
  <c r="J46" i="31"/>
  <c r="J47" i="31"/>
  <c r="K43" i="31"/>
  <c r="K44" i="31"/>
  <c r="K45" i="31"/>
  <c r="K46" i="31"/>
  <c r="K47" i="31"/>
  <c r="L43" i="31"/>
  <c r="L44" i="31"/>
  <c r="L45" i="31"/>
  <c r="L46" i="31"/>
  <c r="L47" i="31"/>
  <c r="G43" i="31"/>
  <c r="G44" i="31"/>
  <c r="G45" i="31"/>
  <c r="G46" i="31"/>
  <c r="G47" i="31"/>
  <c r="H43" i="31"/>
  <c r="H44" i="31"/>
  <c r="H45" i="31"/>
  <c r="H46" i="31"/>
  <c r="H47" i="31"/>
  <c r="I43" i="31"/>
  <c r="I44" i="31"/>
  <c r="I45" i="31"/>
  <c r="I46" i="31"/>
  <c r="I47" i="31"/>
  <c r="D43" i="31"/>
  <c r="D44" i="31"/>
  <c r="D45" i="31"/>
  <c r="D46" i="31"/>
  <c r="D47" i="31"/>
  <c r="E43" i="31"/>
  <c r="E44" i="31"/>
  <c r="E45" i="31"/>
  <c r="E46" i="31"/>
  <c r="E47" i="31"/>
  <c r="F43" i="31"/>
  <c r="F44" i="31"/>
  <c r="F45" i="31"/>
  <c r="F46" i="31"/>
  <c r="F47" i="31"/>
  <c r="BG52" i="31"/>
  <c r="BS51" i="31"/>
  <c r="BR51" i="31"/>
  <c r="BQ51" i="31"/>
  <c r="BP51" i="31"/>
  <c r="BO51" i="31"/>
  <c r="BN51" i="31"/>
  <c r="BM51" i="31"/>
  <c r="BL51" i="31"/>
  <c r="BK51" i="31"/>
  <c r="BJ51" i="31"/>
  <c r="BI51" i="31"/>
  <c r="BH51" i="31"/>
  <c r="BG51" i="31"/>
  <c r="O48" i="31"/>
  <c r="N48" i="31"/>
  <c r="M48" i="31"/>
  <c r="L48" i="31"/>
  <c r="K48" i="31"/>
  <c r="J48" i="31"/>
  <c r="I48" i="31"/>
  <c r="H48" i="31"/>
  <c r="G48" i="31"/>
  <c r="F48" i="31"/>
  <c r="E48" i="31"/>
  <c r="D48" i="31"/>
  <c r="O32" i="31"/>
  <c r="O33" i="31"/>
  <c r="N32" i="31"/>
  <c r="N33" i="31"/>
  <c r="M32" i="31"/>
  <c r="M33" i="31"/>
  <c r="L32" i="31"/>
  <c r="L33" i="31"/>
  <c r="K32" i="31"/>
  <c r="K33" i="31"/>
  <c r="J32" i="31"/>
  <c r="J33" i="31"/>
  <c r="I32" i="31"/>
  <c r="I33" i="31"/>
  <c r="H32" i="31"/>
  <c r="H33" i="31"/>
  <c r="G32" i="31"/>
  <c r="G33" i="31"/>
  <c r="F32" i="31"/>
  <c r="E32" i="31"/>
  <c r="D32" i="31"/>
  <c r="E7" i="31"/>
  <c r="O8" i="31"/>
  <c r="N9" i="31"/>
  <c r="N10" i="31"/>
  <c r="M11" i="31"/>
  <c r="N7" i="31"/>
  <c r="O7" i="31"/>
  <c r="O6" i="31"/>
  <c r="O52" i="31"/>
  <c r="J8" i="31"/>
  <c r="K8" i="31"/>
  <c r="L8" i="31"/>
  <c r="L63" i="31"/>
  <c r="J9" i="31"/>
  <c r="L9" i="31"/>
  <c r="L11" i="31"/>
  <c r="K7" i="31"/>
  <c r="H8" i="31"/>
  <c r="G9" i="31"/>
  <c r="I10" i="31"/>
  <c r="G11" i="31"/>
  <c r="I7" i="31"/>
  <c r="G7" i="31"/>
  <c r="F7" i="31"/>
  <c r="E8" i="31"/>
  <c r="E9" i="31"/>
  <c r="D10" i="31"/>
  <c r="E10" i="31"/>
  <c r="F11" i="31"/>
  <c r="H6" i="31"/>
  <c r="H107" i="31"/>
  <c r="J6" i="31"/>
  <c r="M6" i="31"/>
  <c r="M84" i="31"/>
  <c r="D6" i="31"/>
  <c r="N77" i="5"/>
  <c r="Q70" i="5"/>
  <c r="O87" i="5"/>
  <c r="Q71" i="5"/>
  <c r="N80" i="5"/>
  <c r="O88" i="5"/>
  <c r="N84" i="5"/>
  <c r="P68" i="5"/>
  <c r="N81" i="5"/>
  <c r="Q73" i="5"/>
  <c r="O66" i="5"/>
  <c r="P74" i="5"/>
  <c r="Q82" i="5"/>
  <c r="N66" i="5"/>
  <c r="R5" i="5"/>
  <c r="S5" i="5"/>
  <c r="T5" i="5"/>
  <c r="U5" i="5"/>
  <c r="V5" i="5"/>
  <c r="W5" i="5"/>
  <c r="X5" i="5"/>
  <c r="Y5" i="5"/>
  <c r="Z5" i="5"/>
  <c r="AA5" i="5"/>
  <c r="AB5" i="5"/>
  <c r="R6" i="5"/>
  <c r="S6" i="5"/>
  <c r="T6" i="5"/>
  <c r="U6" i="5"/>
  <c r="V6" i="5"/>
  <c r="W6" i="5"/>
  <c r="X6" i="5"/>
  <c r="Y6" i="5"/>
  <c r="Z6" i="5"/>
  <c r="AA6" i="5"/>
  <c r="AB6" i="5"/>
  <c r="R7" i="5"/>
  <c r="S7" i="5"/>
  <c r="T7" i="5"/>
  <c r="U7" i="5"/>
  <c r="V7" i="5"/>
  <c r="W7" i="5"/>
  <c r="X7" i="5"/>
  <c r="Y7" i="5"/>
  <c r="Z7" i="5"/>
  <c r="AA7" i="5"/>
  <c r="AB7" i="5"/>
  <c r="R8" i="5"/>
  <c r="S8" i="5"/>
  <c r="T8" i="5"/>
  <c r="U8" i="5"/>
  <c r="V8" i="5"/>
  <c r="W8" i="5"/>
  <c r="X8" i="5"/>
  <c r="Y8" i="5"/>
  <c r="Z8" i="5"/>
  <c r="AA8" i="5"/>
  <c r="AB8" i="5"/>
  <c r="R9" i="5"/>
  <c r="S9" i="5"/>
  <c r="T9" i="5"/>
  <c r="U9" i="5"/>
  <c r="V9" i="5"/>
  <c r="W9" i="5"/>
  <c r="X9" i="5"/>
  <c r="Y9" i="5"/>
  <c r="Z9" i="5"/>
  <c r="AA9" i="5"/>
  <c r="AB9" i="5"/>
  <c r="R10" i="5"/>
  <c r="S10" i="5"/>
  <c r="T10" i="5"/>
  <c r="U10" i="5"/>
  <c r="V10" i="5"/>
  <c r="W10" i="5"/>
  <c r="X10" i="5"/>
  <c r="Y10" i="5"/>
  <c r="Z10" i="5"/>
  <c r="AA10" i="5"/>
  <c r="AB10" i="5"/>
  <c r="Q10" i="5"/>
  <c r="Q9" i="5"/>
  <c r="Q8" i="5"/>
  <c r="Q7" i="5"/>
  <c r="Q6" i="5"/>
  <c r="Q5" i="5"/>
  <c r="B19" i="5"/>
  <c r="B18" i="5"/>
  <c r="B16" i="5"/>
  <c r="B102" i="5"/>
  <c r="C4" i="11"/>
  <c r="C5" i="11"/>
  <c r="A5" i="11"/>
  <c r="D20" i="1"/>
  <c r="B86" i="20"/>
  <c r="B105" i="20"/>
  <c r="C86" i="20"/>
  <c r="C105" i="20"/>
  <c r="D86" i="20"/>
  <c r="D105" i="20"/>
  <c r="B100" i="20"/>
  <c r="C100" i="20"/>
  <c r="D100" i="20"/>
  <c r="E86" i="20"/>
  <c r="E105" i="20"/>
  <c r="F86" i="20"/>
  <c r="F105" i="20"/>
  <c r="F100" i="20"/>
  <c r="AD92" i="20"/>
  <c r="G86" i="20"/>
  <c r="G105" i="20"/>
  <c r="G100" i="20"/>
  <c r="AE92" i="20"/>
  <c r="E100" i="20"/>
  <c r="H86" i="20"/>
  <c r="H105" i="20"/>
  <c r="H100" i="20"/>
  <c r="I86" i="20"/>
  <c r="I105" i="20"/>
  <c r="I100" i="20"/>
  <c r="J86" i="20"/>
  <c r="J105" i="20"/>
  <c r="J100" i="20"/>
  <c r="AH92" i="20"/>
  <c r="K86" i="20"/>
  <c r="K105" i="20"/>
  <c r="K100" i="20"/>
  <c r="L86" i="20"/>
  <c r="L105" i="20"/>
  <c r="L100" i="20"/>
  <c r="AJ92" i="20"/>
  <c r="M86" i="20"/>
  <c r="M105" i="20"/>
  <c r="M100" i="20"/>
  <c r="AK92" i="20"/>
  <c r="R100" i="20"/>
  <c r="K84" i="20"/>
  <c r="K96" i="20"/>
  <c r="R96" i="20"/>
  <c r="L84" i="20"/>
  <c r="L96" i="20"/>
  <c r="L91" i="20"/>
  <c r="AJ91" i="20"/>
  <c r="M84" i="20"/>
  <c r="M96" i="20"/>
  <c r="K91" i="20"/>
  <c r="M91" i="20"/>
  <c r="H84" i="20"/>
  <c r="H96" i="20"/>
  <c r="I84" i="20"/>
  <c r="I96" i="20"/>
  <c r="I91" i="20"/>
  <c r="AG91" i="20"/>
  <c r="J84" i="20"/>
  <c r="J96" i="20"/>
  <c r="J91" i="20"/>
  <c r="AH91" i="20"/>
  <c r="H91" i="20"/>
  <c r="E84" i="20"/>
  <c r="E96" i="20"/>
  <c r="E91" i="20"/>
  <c r="F84" i="20"/>
  <c r="F96" i="20"/>
  <c r="F91" i="20"/>
  <c r="G84" i="20"/>
  <c r="G96" i="20"/>
  <c r="G91" i="20"/>
  <c r="AE91" i="20"/>
  <c r="B84" i="20"/>
  <c r="B96" i="20"/>
  <c r="C84" i="20"/>
  <c r="C96" i="20"/>
  <c r="C91" i="20"/>
  <c r="D84" i="20"/>
  <c r="D96" i="20"/>
  <c r="V96" i="20"/>
  <c r="D91" i="20"/>
  <c r="E82" i="20"/>
  <c r="E104" i="20"/>
  <c r="F82" i="20"/>
  <c r="F104" i="20"/>
  <c r="G82" i="20"/>
  <c r="G104" i="20"/>
  <c r="D82" i="20"/>
  <c r="D104" i="20"/>
  <c r="V104" i="20"/>
  <c r="C82" i="20"/>
  <c r="C104" i="20"/>
  <c r="U104" i="20"/>
  <c r="B82" i="20"/>
  <c r="B104" i="20"/>
  <c r="O104" i="20"/>
  <c r="E78" i="20"/>
  <c r="E103" i="20"/>
  <c r="P103" i="20"/>
  <c r="F78" i="20"/>
  <c r="F103" i="20"/>
  <c r="G78" i="20"/>
  <c r="G103" i="20"/>
  <c r="D78" i="20"/>
  <c r="D103" i="20"/>
  <c r="V103" i="20"/>
  <c r="C78" i="20"/>
  <c r="C103" i="20"/>
  <c r="U103" i="20"/>
  <c r="B78" i="20"/>
  <c r="B103" i="20"/>
  <c r="T103" i="20"/>
  <c r="E74" i="20"/>
  <c r="E102" i="20"/>
  <c r="W102" i="20"/>
  <c r="F74" i="20"/>
  <c r="F102" i="20"/>
  <c r="G74" i="20"/>
  <c r="G102" i="20"/>
  <c r="D74" i="20"/>
  <c r="D102" i="20"/>
  <c r="C74" i="20"/>
  <c r="C102" i="20"/>
  <c r="U102" i="20"/>
  <c r="B74" i="20"/>
  <c r="B102" i="20"/>
  <c r="T102" i="20"/>
  <c r="E70" i="20"/>
  <c r="E101" i="20"/>
  <c r="F70" i="20"/>
  <c r="F101" i="20"/>
  <c r="G70" i="20"/>
  <c r="G101" i="20"/>
  <c r="D70" i="20"/>
  <c r="D101" i="20"/>
  <c r="V101" i="20"/>
  <c r="C70" i="20"/>
  <c r="C101" i="20"/>
  <c r="U101" i="20"/>
  <c r="B70" i="20"/>
  <c r="B101" i="20"/>
  <c r="B68" i="20"/>
  <c r="B92" i="20"/>
  <c r="O92" i="20"/>
  <c r="C68" i="20"/>
  <c r="C92" i="20"/>
  <c r="U92" i="20"/>
  <c r="D68" i="20"/>
  <c r="D92" i="20"/>
  <c r="V92" i="20"/>
  <c r="E68" i="20"/>
  <c r="E92" i="20"/>
  <c r="W92" i="20"/>
  <c r="F68" i="20"/>
  <c r="F92" i="20"/>
  <c r="G68" i="20"/>
  <c r="G92" i="20"/>
  <c r="B72" i="20"/>
  <c r="B93" i="20"/>
  <c r="C72" i="20"/>
  <c r="C93" i="20"/>
  <c r="U93" i="20"/>
  <c r="D72" i="20"/>
  <c r="D93" i="20"/>
  <c r="V93" i="20"/>
  <c r="E72" i="20"/>
  <c r="E93" i="20"/>
  <c r="W93" i="20"/>
  <c r="F72" i="20"/>
  <c r="F93" i="20"/>
  <c r="G72" i="20"/>
  <c r="G93" i="20"/>
  <c r="B76" i="20"/>
  <c r="B94" i="20"/>
  <c r="C76" i="20"/>
  <c r="C94" i="20"/>
  <c r="U94" i="20"/>
  <c r="D76" i="20"/>
  <c r="D94" i="20"/>
  <c r="V94" i="20"/>
  <c r="E76" i="20"/>
  <c r="E94" i="20"/>
  <c r="W94" i="20"/>
  <c r="F76" i="20"/>
  <c r="F94" i="20"/>
  <c r="G76" i="20"/>
  <c r="G94" i="20"/>
  <c r="B80" i="20"/>
  <c r="B95" i="20"/>
  <c r="T95" i="20"/>
  <c r="C80" i="20"/>
  <c r="C95" i="20"/>
  <c r="D80" i="20"/>
  <c r="D95" i="20"/>
  <c r="E80" i="20"/>
  <c r="E95" i="20"/>
  <c r="F80" i="20"/>
  <c r="F95" i="20"/>
  <c r="G80" i="20"/>
  <c r="G95" i="20"/>
  <c r="U91" i="20"/>
  <c r="K82" i="20"/>
  <c r="K104" i="20"/>
  <c r="L82" i="20"/>
  <c r="L104" i="20"/>
  <c r="M82" i="20"/>
  <c r="M104" i="20"/>
  <c r="H82" i="20"/>
  <c r="H104" i="20"/>
  <c r="Q104" i="20"/>
  <c r="I82" i="20"/>
  <c r="I104" i="20"/>
  <c r="J82" i="20"/>
  <c r="J104" i="20"/>
  <c r="K78" i="20"/>
  <c r="K103" i="20"/>
  <c r="L78" i="20"/>
  <c r="L103" i="20"/>
  <c r="M78" i="20"/>
  <c r="M103" i="20"/>
  <c r="H78" i="20"/>
  <c r="H103" i="20"/>
  <c r="Q103" i="20"/>
  <c r="I78" i="20"/>
  <c r="I103" i="20"/>
  <c r="J78" i="20"/>
  <c r="J103" i="20"/>
  <c r="K74" i="20"/>
  <c r="K102" i="20"/>
  <c r="R102" i="20"/>
  <c r="L74" i="20"/>
  <c r="L102" i="20"/>
  <c r="M74" i="20"/>
  <c r="M102" i="20"/>
  <c r="H74" i="20"/>
  <c r="H102" i="20"/>
  <c r="Q102" i="20"/>
  <c r="I74" i="20"/>
  <c r="I102" i="20"/>
  <c r="J74" i="20"/>
  <c r="J102" i="20"/>
  <c r="K70" i="20"/>
  <c r="K101" i="20"/>
  <c r="R101" i="20"/>
  <c r="L70" i="20"/>
  <c r="L101" i="20"/>
  <c r="M70" i="20"/>
  <c r="M101" i="20"/>
  <c r="H70" i="20"/>
  <c r="H101" i="20"/>
  <c r="Q101" i="20"/>
  <c r="I70" i="20"/>
  <c r="I101" i="20"/>
  <c r="J70" i="20"/>
  <c r="J101" i="20"/>
  <c r="O101" i="20"/>
  <c r="H68" i="20"/>
  <c r="H92" i="20"/>
  <c r="Q92" i="20"/>
  <c r="I68" i="20"/>
  <c r="I92" i="20"/>
  <c r="J68" i="20"/>
  <c r="J92" i="20"/>
  <c r="K68" i="20"/>
  <c r="K92" i="20"/>
  <c r="R92" i="20"/>
  <c r="L68" i="20"/>
  <c r="L92" i="20"/>
  <c r="M68" i="20"/>
  <c r="M92" i="20"/>
  <c r="H72" i="20"/>
  <c r="H93" i="20"/>
  <c r="Q93" i="20"/>
  <c r="I72" i="20"/>
  <c r="I93" i="20"/>
  <c r="J72" i="20"/>
  <c r="J93" i="20"/>
  <c r="K72" i="20"/>
  <c r="K93" i="20"/>
  <c r="R93" i="20"/>
  <c r="L72" i="20"/>
  <c r="L93" i="20"/>
  <c r="M72" i="20"/>
  <c r="M93" i="20"/>
  <c r="H76" i="20"/>
  <c r="H94" i="20"/>
  <c r="Q94" i="20"/>
  <c r="I76" i="20"/>
  <c r="I94" i="20"/>
  <c r="J76" i="20"/>
  <c r="J94" i="20"/>
  <c r="K76" i="20"/>
  <c r="K94" i="20"/>
  <c r="R94" i="20"/>
  <c r="L76" i="20"/>
  <c r="L94" i="20"/>
  <c r="M76" i="20"/>
  <c r="M94" i="20"/>
  <c r="H80" i="20"/>
  <c r="H95" i="20"/>
  <c r="Q95" i="20"/>
  <c r="I80" i="20"/>
  <c r="I95" i="20"/>
  <c r="J80" i="20"/>
  <c r="J95" i="20"/>
  <c r="K80" i="20"/>
  <c r="K95" i="20"/>
  <c r="R95" i="20"/>
  <c r="L80" i="20"/>
  <c r="L95" i="20"/>
  <c r="M80" i="20"/>
  <c r="M95" i="20"/>
  <c r="R91" i="20"/>
  <c r="B85" i="20"/>
  <c r="C85" i="20"/>
  <c r="D85" i="20"/>
  <c r="E85" i="20"/>
  <c r="F85" i="20"/>
  <c r="G85" i="20"/>
  <c r="H85" i="20"/>
  <c r="I85" i="20"/>
  <c r="J85" i="20"/>
  <c r="K85" i="20"/>
  <c r="L85" i="20"/>
  <c r="M85" i="20"/>
  <c r="B81" i="20"/>
  <c r="C81" i="20"/>
  <c r="D81" i="20"/>
  <c r="E81" i="20"/>
  <c r="F81" i="20"/>
  <c r="G81" i="20"/>
  <c r="H81" i="20"/>
  <c r="I81" i="20"/>
  <c r="J81" i="20"/>
  <c r="K81" i="20"/>
  <c r="L81" i="20"/>
  <c r="M81" i="20"/>
  <c r="B77" i="20"/>
  <c r="C77" i="20"/>
  <c r="D77" i="20"/>
  <c r="E77" i="20"/>
  <c r="F77" i="20"/>
  <c r="G77" i="20"/>
  <c r="H77" i="20"/>
  <c r="I77" i="20"/>
  <c r="J77" i="20"/>
  <c r="K77" i="20"/>
  <c r="L77" i="20"/>
  <c r="M77" i="20"/>
  <c r="B73" i="20"/>
  <c r="C73" i="20"/>
  <c r="D73" i="20"/>
  <c r="E73" i="20"/>
  <c r="F73" i="20"/>
  <c r="G73" i="20"/>
  <c r="H73" i="20"/>
  <c r="I73" i="20"/>
  <c r="J73" i="20"/>
  <c r="K73" i="20"/>
  <c r="L73" i="20"/>
  <c r="M73" i="20"/>
  <c r="B69" i="20"/>
  <c r="C69" i="20"/>
  <c r="D69" i="20"/>
  <c r="E69" i="20"/>
  <c r="F69" i="20"/>
  <c r="G69" i="20"/>
  <c r="H69" i="20"/>
  <c r="I69" i="20"/>
  <c r="J69" i="20"/>
  <c r="K69" i="20"/>
  <c r="L69" i="20"/>
  <c r="M69" i="20"/>
  <c r="D187" i="5"/>
  <c r="AU3" i="20"/>
  <c r="AY3" i="20"/>
  <c r="BC3" i="20"/>
  <c r="AT3" i="20"/>
  <c r="AX3" i="20"/>
  <c r="BB3" i="20"/>
  <c r="AS3" i="20"/>
  <c r="AW3" i="20"/>
  <c r="BA3" i="20"/>
  <c r="AR3" i="20"/>
  <c r="AV3" i="20"/>
  <c r="AZ3" i="20"/>
  <c r="AP3" i="20"/>
  <c r="AO3" i="20"/>
  <c r="AN3" i="20"/>
  <c r="AM3" i="20"/>
  <c r="AL3" i="20"/>
  <c r="AK3" i="20"/>
  <c r="AJ3" i="20"/>
  <c r="AI3" i="20"/>
  <c r="AH3" i="20"/>
  <c r="AG3" i="20"/>
  <c r="AF3" i="20"/>
  <c r="AE3" i="20"/>
  <c r="A7" i="11"/>
  <c r="A9" i="11"/>
  <c r="A11" i="11"/>
  <c r="P65" i="5"/>
  <c r="M14" i="5"/>
  <c r="M30" i="5"/>
  <c r="O14" i="5"/>
  <c r="O15" i="5"/>
  <c r="N16" i="5"/>
  <c r="N32" i="5"/>
  <c r="O17" i="5"/>
  <c r="N19" i="5"/>
  <c r="N35" i="5"/>
  <c r="C102" i="5"/>
  <c r="C101" i="5"/>
  <c r="C111" i="5"/>
  <c r="B101" i="5"/>
  <c r="B111" i="5"/>
  <c r="A101" i="5"/>
  <c r="A111" i="5"/>
  <c r="A103" i="5"/>
  <c r="A113" i="5"/>
  <c r="A104" i="5"/>
  <c r="A114" i="5"/>
  <c r="A105" i="5"/>
  <c r="A9" i="31"/>
  <c r="A20" i="31"/>
  <c r="A115" i="5"/>
  <c r="A106" i="5"/>
  <c r="A107" i="5"/>
  <c r="A11" i="31"/>
  <c r="A22" i="31"/>
  <c r="A102" i="5"/>
  <c r="A112" i="5"/>
  <c r="O101" i="5"/>
  <c r="D101" i="5"/>
  <c r="E101" i="5"/>
  <c r="F101" i="5"/>
  <c r="G101" i="5"/>
  <c r="H101" i="5"/>
  <c r="I101" i="5"/>
  <c r="J101" i="5"/>
  <c r="K101" i="5"/>
  <c r="L101" i="5"/>
  <c r="M101" i="5"/>
  <c r="N101" i="5"/>
  <c r="B106" i="5"/>
  <c r="B10" i="31"/>
  <c r="B21" i="31"/>
  <c r="B105" i="5"/>
  <c r="B9" i="31"/>
  <c r="B20" i="31"/>
  <c r="B27" i="4"/>
  <c r="B10" i="11"/>
  <c r="B8" i="11"/>
  <c r="B103" i="5"/>
  <c r="B113" i="5"/>
  <c r="L14" i="5"/>
  <c r="O16" i="5"/>
  <c r="H42" i="4"/>
  <c r="E42" i="4"/>
  <c r="B42" i="4"/>
  <c r="H39" i="4"/>
  <c r="E39" i="4"/>
  <c r="B39" i="4"/>
  <c r="H38" i="4"/>
  <c r="H43" i="4"/>
  <c r="H45" i="4"/>
  <c r="H46" i="4"/>
  <c r="E38" i="4"/>
  <c r="E43" i="4"/>
  <c r="E45" i="4"/>
  <c r="E46" i="4"/>
  <c r="B38" i="4"/>
  <c r="B43" i="4"/>
  <c r="B45" i="4"/>
  <c r="B46" i="4"/>
  <c r="K46" i="4"/>
  <c r="B8" i="1"/>
  <c r="H19" i="4"/>
  <c r="H16" i="4"/>
  <c r="H15" i="4"/>
  <c r="H20" i="4"/>
  <c r="H22" i="4"/>
  <c r="H23" i="4"/>
  <c r="E19" i="4"/>
  <c r="E16" i="4"/>
  <c r="E15" i="4"/>
  <c r="E20" i="4"/>
  <c r="E22" i="4"/>
  <c r="E23" i="4"/>
  <c r="B16" i="4"/>
  <c r="B15" i="4"/>
  <c r="B19" i="4"/>
  <c r="B20" i="4"/>
  <c r="B22" i="4"/>
  <c r="B23" i="4"/>
  <c r="O82" i="5"/>
  <c r="P82" i="5"/>
  <c r="O83" i="5"/>
  <c r="P83" i="5"/>
  <c r="Q83" i="5"/>
  <c r="O84" i="5"/>
  <c r="P84" i="5"/>
  <c r="Q84" i="5"/>
  <c r="O85" i="5"/>
  <c r="P85" i="5"/>
  <c r="Q85" i="5"/>
  <c r="O86" i="5"/>
  <c r="P86" i="5"/>
  <c r="Q86" i="5"/>
  <c r="P87" i="5"/>
  <c r="Q87" i="5"/>
  <c r="P88" i="5"/>
  <c r="Q88" i="5"/>
  <c r="O74" i="5"/>
  <c r="Q74" i="5"/>
  <c r="O75" i="5"/>
  <c r="P75" i="5"/>
  <c r="Q75" i="5"/>
  <c r="O76" i="5"/>
  <c r="P76" i="5"/>
  <c r="Q76" i="5"/>
  <c r="O77" i="5"/>
  <c r="P77" i="5"/>
  <c r="Q77" i="5"/>
  <c r="O78" i="5"/>
  <c r="P78" i="5"/>
  <c r="Q78" i="5"/>
  <c r="O79" i="5"/>
  <c r="P79" i="5"/>
  <c r="Q79" i="5"/>
  <c r="O80" i="5"/>
  <c r="P80" i="5"/>
  <c r="Q80" i="5"/>
  <c r="P66" i="5"/>
  <c r="Q66" i="5"/>
  <c r="O67" i="5"/>
  <c r="P67" i="5"/>
  <c r="Q67" i="5"/>
  <c r="O68" i="5"/>
  <c r="Q68" i="5"/>
  <c r="O69" i="5"/>
  <c r="P69" i="5"/>
  <c r="Q69" i="5"/>
  <c r="O70" i="5"/>
  <c r="P70" i="5"/>
  <c r="O71" i="5"/>
  <c r="P71" i="5"/>
  <c r="O72" i="5"/>
  <c r="P72" i="5"/>
  <c r="Q72" i="5"/>
  <c r="Q81" i="5"/>
  <c r="Q65" i="5"/>
  <c r="P81" i="5"/>
  <c r="P73" i="5"/>
  <c r="O81" i="5"/>
  <c r="O73" i="5"/>
  <c r="N82" i="5"/>
  <c r="N83" i="5"/>
  <c r="N85" i="5"/>
  <c r="N86" i="5"/>
  <c r="N87" i="5"/>
  <c r="N88" i="5"/>
  <c r="N74" i="5"/>
  <c r="N75" i="5"/>
  <c r="N76" i="5"/>
  <c r="N78" i="5"/>
  <c r="N79" i="5"/>
  <c r="N73" i="5"/>
  <c r="H87" i="5"/>
  <c r="I87" i="5"/>
  <c r="N61" i="5"/>
  <c r="N72" i="5"/>
  <c r="N60" i="5"/>
  <c r="N71" i="5"/>
  <c r="N59" i="5"/>
  <c r="N70" i="5"/>
  <c r="N58" i="5"/>
  <c r="N69" i="5"/>
  <c r="N57" i="5"/>
  <c r="N68" i="5"/>
  <c r="N56" i="5"/>
  <c r="N67" i="5"/>
  <c r="N54" i="5"/>
  <c r="M53" i="5"/>
  <c r="L53" i="5"/>
  <c r="K53" i="5"/>
  <c r="J53" i="5"/>
  <c r="I53" i="5"/>
  <c r="H53" i="5"/>
  <c r="G53" i="5"/>
  <c r="F53" i="5"/>
  <c r="E53" i="5"/>
  <c r="D53" i="5"/>
  <c r="C53" i="5"/>
  <c r="B53" i="5"/>
  <c r="B17" i="5"/>
  <c r="B15" i="5"/>
  <c r="C14" i="5"/>
  <c r="B14" i="5"/>
  <c r="C13" i="5"/>
  <c r="B13" i="5"/>
  <c r="A13" i="5"/>
  <c r="A19" i="5"/>
  <c r="M18" i="5"/>
  <c r="A18" i="5"/>
  <c r="M17" i="5"/>
  <c r="A17" i="5"/>
  <c r="L16" i="5"/>
  <c r="A16" i="5"/>
  <c r="N15" i="5"/>
  <c r="N31" i="5"/>
  <c r="A15" i="5"/>
  <c r="A14" i="5"/>
  <c r="N24" i="5"/>
  <c r="M19" i="5"/>
  <c r="L15" i="5"/>
  <c r="M16" i="5"/>
  <c r="L19" i="5"/>
  <c r="L35" i="5"/>
  <c r="J173" i="5"/>
  <c r="N173" i="5"/>
  <c r="R173" i="5"/>
  <c r="F173" i="5"/>
  <c r="O103" i="20"/>
  <c r="V95" i="20"/>
  <c r="P92" i="20"/>
  <c r="W103" i="20"/>
  <c r="U100" i="20"/>
  <c r="V100" i="20"/>
  <c r="T100" i="20"/>
  <c r="O100" i="20"/>
  <c r="C6" i="31"/>
  <c r="C17" i="31"/>
  <c r="C112" i="5"/>
  <c r="P94" i="20"/>
  <c r="V102" i="20"/>
  <c r="A10" i="31"/>
  <c r="A21" i="31"/>
  <c r="A116" i="5"/>
  <c r="O95" i="20"/>
  <c r="R104" i="20"/>
  <c r="T101" i="20"/>
  <c r="T104" i="20"/>
  <c r="N14" i="5"/>
  <c r="N22" i="5"/>
  <c r="M15" i="5"/>
  <c r="M23" i="5"/>
  <c r="H10" i="31"/>
  <c r="N18" i="5"/>
  <c r="N26" i="5"/>
  <c r="O19" i="5"/>
  <c r="D173" i="5"/>
  <c r="AI91" i="20"/>
  <c r="AP91" i="20"/>
  <c r="P100" i="20"/>
  <c r="W100" i="20"/>
  <c r="O102" i="20"/>
  <c r="V91" i="20"/>
  <c r="T91" i="20"/>
  <c r="O91" i="20"/>
  <c r="Q91" i="20"/>
  <c r="F6" i="31"/>
  <c r="F84" i="31"/>
  <c r="L18" i="5"/>
  <c r="L17" i="5"/>
  <c r="D8" i="31"/>
  <c r="H11" i="31"/>
  <c r="M33" i="5"/>
  <c r="G8" i="31"/>
  <c r="J11" i="31"/>
  <c r="N17" i="5"/>
  <c r="N33" i="5"/>
  <c r="O23" i="5"/>
  <c r="O18" i="5"/>
  <c r="M9" i="31"/>
  <c r="M64" i="31"/>
  <c r="M8" i="31"/>
  <c r="O10" i="31"/>
  <c r="U95" i="20"/>
  <c r="R103" i="20"/>
  <c r="P93" i="20"/>
  <c r="P102" i="20"/>
  <c r="W91" i="20"/>
  <c r="P91" i="20"/>
  <c r="AD91" i="20"/>
  <c r="AG92" i="20"/>
  <c r="Q100" i="20"/>
  <c r="D107" i="31"/>
  <c r="D108" i="31"/>
  <c r="D109" i="31"/>
  <c r="M107" i="31"/>
  <c r="K65" i="31"/>
  <c r="AK91" i="20"/>
  <c r="N44" i="31"/>
  <c r="N46" i="31"/>
  <c r="M44" i="31"/>
  <c r="M46" i="31"/>
  <c r="O43" i="31"/>
  <c r="O45" i="31"/>
  <c r="O47" i="31"/>
  <c r="N106" i="31"/>
  <c r="J106" i="31"/>
  <c r="F106" i="31"/>
  <c r="M106" i="31"/>
  <c r="M108" i="31"/>
  <c r="M109" i="31"/>
  <c r="I106" i="31"/>
  <c r="M10" i="31"/>
  <c r="M65" i="31"/>
  <c r="I9" i="31"/>
  <c r="F10" i="31"/>
  <c r="K173" i="5"/>
  <c r="O173" i="5"/>
  <c r="S173" i="5"/>
  <c r="G173" i="5"/>
  <c r="L27" i="5"/>
  <c r="H173" i="5"/>
  <c r="L173" i="5"/>
  <c r="P173" i="5"/>
  <c r="O11" i="31"/>
  <c r="D9" i="31"/>
  <c r="J64" i="31"/>
  <c r="E11" i="31"/>
  <c r="I173" i="5"/>
  <c r="M173" i="5"/>
  <c r="Q173" i="5"/>
  <c r="E173" i="5"/>
  <c r="K10" i="31"/>
  <c r="M7" i="31"/>
  <c r="AU91" i="20"/>
  <c r="F8" i="31"/>
  <c r="K6" i="31"/>
  <c r="K107" i="31"/>
  <c r="M31" i="5"/>
  <c r="K84" i="31"/>
  <c r="K52" i="31"/>
  <c r="Y52" i="31"/>
  <c r="AM52" i="31"/>
  <c r="BA52" i="31"/>
  <c r="BO52" i="31"/>
  <c r="K29" i="31"/>
  <c r="M164" i="5"/>
  <c r="J164" i="5"/>
  <c r="L164" i="5"/>
  <c r="F175" i="5"/>
  <c r="O164" i="5"/>
  <c r="E164" i="5"/>
  <c r="D175" i="5"/>
  <c r="E175" i="5"/>
  <c r="I175" i="5"/>
  <c r="M175" i="5"/>
  <c r="Q175" i="5"/>
  <c r="G175" i="5"/>
  <c r="K175" i="5"/>
  <c r="O175" i="5"/>
  <c r="S175" i="5"/>
  <c r="J175" i="5"/>
  <c r="N175" i="5"/>
  <c r="R175" i="5"/>
  <c r="H175" i="5"/>
  <c r="L175" i="5"/>
  <c r="P175" i="5"/>
  <c r="J28" i="31"/>
  <c r="M52" i="31"/>
  <c r="T54" i="5"/>
  <c r="S81" i="5"/>
  <c r="B116" i="5"/>
  <c r="N30" i="5"/>
  <c r="O31" i="5"/>
  <c r="M110" i="31"/>
  <c r="M62" i="31"/>
  <c r="K28" i="31"/>
  <c r="K30" i="31"/>
  <c r="K31" i="31"/>
  <c r="M25" i="5"/>
  <c r="E29" i="31"/>
  <c r="L62" i="31"/>
  <c r="N23" i="5"/>
  <c r="N25" i="5"/>
  <c r="O107" i="31"/>
  <c r="O108" i="31"/>
  <c r="O109" i="31"/>
  <c r="O110" i="31"/>
  <c r="N34" i="5"/>
  <c r="F29" i="31"/>
  <c r="E28" i="31"/>
  <c r="J65" i="31"/>
  <c r="BC4" i="20"/>
  <c r="AU5" i="20"/>
  <c r="AY5" i="20"/>
  <c r="BC5" i="20"/>
  <c r="AT5" i="20"/>
  <c r="AX5" i="20"/>
  <c r="BB5" i="20"/>
  <c r="AR5" i="20"/>
  <c r="AV5" i="20"/>
  <c r="AZ5" i="20"/>
  <c r="I179" i="5"/>
  <c r="M179" i="5"/>
  <c r="Q179" i="5"/>
  <c r="K179" i="5"/>
  <c r="O179" i="5"/>
  <c r="S179" i="5"/>
  <c r="AU6" i="20"/>
  <c r="AY6" i="20"/>
  <c r="BC6" i="20"/>
  <c r="AT6" i="20"/>
  <c r="AX6" i="20"/>
  <c r="BB6" i="20"/>
  <c r="AR6" i="20"/>
  <c r="AV6" i="20"/>
  <c r="AZ6" i="20"/>
  <c r="H179" i="5"/>
  <c r="L179" i="5"/>
  <c r="P179" i="5"/>
  <c r="J179" i="5"/>
  <c r="N179" i="5"/>
  <c r="R179" i="5"/>
  <c r="AF91" i="20"/>
  <c r="Q96" i="20"/>
  <c r="AC92" i="20"/>
  <c r="P105" i="20"/>
  <c r="W105" i="20"/>
  <c r="W104" i="20"/>
  <c r="P104" i="20"/>
  <c r="AA92" i="20"/>
  <c r="U105" i="20"/>
  <c r="T94" i="20"/>
  <c r="O94" i="20"/>
  <c r="P101" i="20"/>
  <c r="W101" i="20"/>
  <c r="U96" i="20"/>
  <c r="AA91" i="20"/>
  <c r="P96" i="20"/>
  <c r="W96" i="20"/>
  <c r="AC91" i="20"/>
  <c r="AF92" i="20"/>
  <c r="Q105" i="20"/>
  <c r="Z92" i="20"/>
  <c r="T105" i="20"/>
  <c r="O105" i="20"/>
  <c r="V105" i="20"/>
  <c r="AB92" i="20"/>
  <c r="W95" i="20"/>
  <c r="P95" i="20"/>
  <c r="T93" i="20"/>
  <c r="O93" i="20"/>
  <c r="Z91" i="20"/>
  <c r="T96" i="20"/>
  <c r="O96" i="20"/>
  <c r="AI92" i="20"/>
  <c r="R105" i="20"/>
  <c r="AB91" i="20"/>
  <c r="T92" i="20"/>
  <c r="K64" i="31"/>
  <c r="K66" i="31"/>
  <c r="AC52" i="31"/>
  <c r="O53" i="31"/>
  <c r="O54" i="31"/>
  <c r="O55" i="31"/>
  <c r="O56" i="31"/>
  <c r="O57" i="31"/>
  <c r="F52" i="31"/>
  <c r="T52" i="31"/>
  <c r="J107" i="31"/>
  <c r="J84" i="31"/>
  <c r="K53" i="31"/>
  <c r="J29" i="31"/>
  <c r="J30" i="31"/>
  <c r="J31" i="31"/>
  <c r="F28" i="31"/>
  <c r="O28" i="31"/>
  <c r="O108" i="5"/>
  <c r="O12" i="31"/>
  <c r="O111" i="31"/>
  <c r="Y54" i="5"/>
  <c r="P54" i="5"/>
  <c r="E108" i="5"/>
  <c r="H108" i="5"/>
  <c r="S54" i="5"/>
  <c r="W54" i="5"/>
  <c r="L108" i="5"/>
  <c r="L12" i="31"/>
  <c r="L111" i="31"/>
  <c r="F108" i="5"/>
  <c r="Q54" i="5"/>
  <c r="O161" i="5"/>
  <c r="X54" i="5"/>
  <c r="M108" i="5"/>
  <c r="M161" i="5"/>
  <c r="V54" i="5"/>
  <c r="K108" i="5"/>
  <c r="K12" i="31"/>
  <c r="J108" i="5"/>
  <c r="U54" i="5"/>
  <c r="D108" i="5"/>
  <c r="D12" i="31"/>
  <c r="G108" i="5"/>
  <c r="G12" i="31"/>
  <c r="R54" i="5"/>
  <c r="U81" i="5"/>
  <c r="Z55" i="5"/>
  <c r="B7" i="31"/>
  <c r="B18" i="31"/>
  <c r="B107" i="5"/>
  <c r="B117" i="5"/>
  <c r="B104" i="5"/>
  <c r="B8" i="31"/>
  <c r="B19" i="31"/>
  <c r="B112" i="5"/>
  <c r="B6" i="31"/>
  <c r="B17" i="31"/>
  <c r="B6" i="11"/>
  <c r="C6" i="11"/>
  <c r="B115" i="5"/>
  <c r="C6" i="5"/>
  <c r="AQ52" i="31"/>
  <c r="O114" i="5"/>
  <c r="S114" i="5"/>
  <c r="N8" i="31"/>
  <c r="M63" i="31"/>
  <c r="M53" i="31"/>
  <c r="M54" i="31"/>
  <c r="M55" i="31"/>
  <c r="M56" i="31"/>
  <c r="M57" i="31"/>
  <c r="AA52" i="31"/>
  <c r="K9" i="31"/>
  <c r="L64" i="31"/>
  <c r="N115" i="5"/>
  <c r="R115" i="5"/>
  <c r="H108" i="31"/>
  <c r="H109" i="31"/>
  <c r="H110" i="31"/>
  <c r="L32" i="5"/>
  <c r="L24" i="5"/>
  <c r="H84" i="31"/>
  <c r="H52" i="31"/>
  <c r="L6" i="31"/>
  <c r="L161" i="5"/>
  <c r="K108" i="31"/>
  <c r="K109" i="31"/>
  <c r="K110" i="31"/>
  <c r="M29" i="31"/>
  <c r="M28" i="31"/>
  <c r="N117" i="5"/>
  <c r="R117" i="5"/>
  <c r="L10" i="31"/>
  <c r="N116" i="5"/>
  <c r="R116" i="5"/>
  <c r="J10" i="31"/>
  <c r="L65" i="31"/>
  <c r="M34" i="5"/>
  <c r="M26" i="5"/>
  <c r="O25" i="5"/>
  <c r="O33" i="5"/>
  <c r="L22" i="5"/>
  <c r="K11" i="31"/>
  <c r="L66" i="31"/>
  <c r="I161" i="5"/>
  <c r="I6" i="31"/>
  <c r="G6" i="31"/>
  <c r="O113" i="5"/>
  <c r="S113" i="5"/>
  <c r="O34" i="5"/>
  <c r="O26" i="5"/>
  <c r="N27" i="5"/>
  <c r="N11" i="31"/>
  <c r="M66" i="31"/>
  <c r="O117" i="5"/>
  <c r="S117" i="5"/>
  <c r="Q115" i="5"/>
  <c r="N114" i="5"/>
  <c r="R114" i="5"/>
  <c r="L26" i="5"/>
  <c r="L34" i="5"/>
  <c r="F107" i="31"/>
  <c r="M24" i="5"/>
  <c r="M32" i="5"/>
  <c r="M27" i="5"/>
  <c r="M35" i="5"/>
  <c r="O30" i="5"/>
  <c r="O22" i="5"/>
  <c r="O115" i="5"/>
  <c r="S115" i="5"/>
  <c r="N161" i="5"/>
  <c r="N6" i="31"/>
  <c r="O24" i="5"/>
  <c r="O32" i="5"/>
  <c r="O35" i="5"/>
  <c r="O27" i="5"/>
  <c r="M22" i="5"/>
  <c r="J61" i="31"/>
  <c r="L116" i="5"/>
  <c r="P116" i="5"/>
  <c r="I8" i="31"/>
  <c r="K63" i="31"/>
  <c r="M114" i="5"/>
  <c r="Q114" i="5"/>
  <c r="L28" i="31"/>
  <c r="J52" i="31"/>
  <c r="O29" i="31"/>
  <c r="O30" i="31"/>
  <c r="O31" i="31"/>
  <c r="O84" i="31"/>
  <c r="E84" i="31"/>
  <c r="E52" i="31"/>
  <c r="M117" i="5"/>
  <c r="Q117" i="5"/>
  <c r="H7" i="31"/>
  <c r="L113" i="5"/>
  <c r="P113" i="5"/>
  <c r="J63" i="31"/>
  <c r="J66" i="31"/>
  <c r="L117" i="5"/>
  <c r="P117" i="5"/>
  <c r="L25" i="5"/>
  <c r="L33" i="5"/>
  <c r="L115" i="5"/>
  <c r="P115" i="5"/>
  <c r="L23" i="5"/>
  <c r="L31" i="5"/>
  <c r="D7" i="31"/>
  <c r="D28" i="31"/>
  <c r="D110" i="31"/>
  <c r="D52" i="31"/>
  <c r="D84" i="31"/>
  <c r="L30" i="5"/>
  <c r="A8" i="31"/>
  <c r="A19" i="31"/>
  <c r="A117" i="5"/>
  <c r="A7" i="31"/>
  <c r="A18" i="31"/>
  <c r="A6" i="31"/>
  <c r="A17" i="31"/>
  <c r="F30" i="31"/>
  <c r="F31" i="31"/>
  <c r="G172" i="5"/>
  <c r="T55" i="5"/>
  <c r="T56" i="5"/>
  <c r="T61" i="5"/>
  <c r="S88" i="5"/>
  <c r="T60" i="5"/>
  <c r="S87" i="5"/>
  <c r="T59" i="5"/>
  <c r="S86" i="5"/>
  <c r="M30" i="31"/>
  <c r="M31" i="31"/>
  <c r="AC53" i="31"/>
  <c r="AC54" i="31"/>
  <c r="AC55" i="31"/>
  <c r="AC56" i="31"/>
  <c r="AC57" i="31"/>
  <c r="E30" i="31"/>
  <c r="E31" i="31"/>
  <c r="AO92" i="20"/>
  <c r="AT92" i="20"/>
  <c r="AS92" i="20"/>
  <c r="AN92" i="20"/>
  <c r="AM91" i="20"/>
  <c r="AR91" i="20"/>
  <c r="AS91" i="20"/>
  <c r="AN91" i="20"/>
  <c r="AP92" i="20"/>
  <c r="AU92" i="20"/>
  <c r="AR92" i="20"/>
  <c r="AM92" i="20"/>
  <c r="AT91" i="20"/>
  <c r="AO91" i="20"/>
  <c r="F53" i="31"/>
  <c r="F54" i="31"/>
  <c r="F55" i="31"/>
  <c r="F56" i="31"/>
  <c r="F57" i="31"/>
  <c r="J108" i="31"/>
  <c r="J109" i="31"/>
  <c r="J110" i="31"/>
  <c r="Y53" i="31"/>
  <c r="K54" i="31"/>
  <c r="K55" i="31"/>
  <c r="K56" i="31"/>
  <c r="K57" i="31"/>
  <c r="U73" i="5"/>
  <c r="Y55" i="5"/>
  <c r="S83" i="5"/>
  <c r="S82" i="5"/>
  <c r="T58" i="5"/>
  <c r="S85" i="5"/>
  <c r="G161" i="5"/>
  <c r="G163" i="5"/>
  <c r="Z56" i="5"/>
  <c r="U82" i="5"/>
  <c r="W55" i="5"/>
  <c r="T81" i="5"/>
  <c r="O83" i="31"/>
  <c r="O85" i="31"/>
  <c r="O86" i="31"/>
  <c r="D111" i="31"/>
  <c r="S55" i="5"/>
  <c r="S73" i="5"/>
  <c r="S65" i="5"/>
  <c r="R55" i="5"/>
  <c r="T65" i="5"/>
  <c r="U55" i="5"/>
  <c r="Z162" i="5"/>
  <c r="M12" i="31"/>
  <c r="R81" i="5"/>
  <c r="Q55" i="5"/>
  <c r="H161" i="5"/>
  <c r="H12" i="31"/>
  <c r="K67" i="31"/>
  <c r="K83" i="31"/>
  <c r="K85" i="31"/>
  <c r="K86" i="31"/>
  <c r="K111" i="31"/>
  <c r="R73" i="5"/>
  <c r="P55" i="5"/>
  <c r="T73" i="5"/>
  <c r="V55" i="5"/>
  <c r="O163" i="5"/>
  <c r="O165" i="5"/>
  <c r="K161" i="5"/>
  <c r="D83" i="31"/>
  <c r="D85" i="31"/>
  <c r="D86" i="31"/>
  <c r="D161" i="5"/>
  <c r="G111" i="31"/>
  <c r="J12" i="31"/>
  <c r="J161" i="5"/>
  <c r="U65" i="5"/>
  <c r="X55" i="5"/>
  <c r="F12" i="31"/>
  <c r="F161" i="5"/>
  <c r="E161" i="5"/>
  <c r="E12" i="31"/>
  <c r="B114" i="5"/>
  <c r="B11" i="31"/>
  <c r="B22" i="31"/>
  <c r="C7" i="11"/>
  <c r="C9" i="11"/>
  <c r="C11" i="11"/>
  <c r="C8" i="11"/>
  <c r="C10" i="11"/>
  <c r="C12" i="11"/>
  <c r="C103" i="5"/>
  <c r="C7" i="5"/>
  <c r="C15" i="5"/>
  <c r="X52" i="31"/>
  <c r="J53" i="31"/>
  <c r="J54" i="31"/>
  <c r="J55" i="31"/>
  <c r="J56" i="31"/>
  <c r="J57" i="31"/>
  <c r="M61" i="31"/>
  <c r="N84" i="31"/>
  <c r="N107" i="31"/>
  <c r="N83" i="31"/>
  <c r="N29" i="31"/>
  <c r="N28" i="31"/>
  <c r="N52" i="31"/>
  <c r="W161" i="5"/>
  <c r="L163" i="5"/>
  <c r="L165" i="5"/>
  <c r="H53" i="31"/>
  <c r="H54" i="31"/>
  <c r="H55" i="31"/>
  <c r="H56" i="31"/>
  <c r="H57" i="31"/>
  <c r="V52" i="31"/>
  <c r="T53" i="31"/>
  <c r="T54" i="31"/>
  <c r="T55" i="31"/>
  <c r="T56" i="31"/>
  <c r="T57" i="31"/>
  <c r="AH52" i="31"/>
  <c r="N165" i="5"/>
  <c r="N163" i="5"/>
  <c r="G107" i="31"/>
  <c r="G83" i="31"/>
  <c r="K61" i="31"/>
  <c r="G28" i="31"/>
  <c r="G52" i="31"/>
  <c r="G29" i="31"/>
  <c r="G84" i="31"/>
  <c r="I28" i="31"/>
  <c r="I83" i="31"/>
  <c r="I84" i="31"/>
  <c r="I29" i="31"/>
  <c r="I107" i="31"/>
  <c r="I52" i="31"/>
  <c r="L107" i="31"/>
  <c r="L29" i="31"/>
  <c r="L30" i="31"/>
  <c r="L31" i="31"/>
  <c r="L83" i="31"/>
  <c r="L52" i="31"/>
  <c r="L84" i="31"/>
  <c r="L61" i="31"/>
  <c r="AA53" i="31"/>
  <c r="AA54" i="31"/>
  <c r="AA55" i="31"/>
  <c r="AA56" i="31"/>
  <c r="AA57" i="31"/>
  <c r="AO52" i="31"/>
  <c r="K62" i="31"/>
  <c r="H28" i="31"/>
  <c r="H29" i="31"/>
  <c r="S52" i="31"/>
  <c r="E53" i="31"/>
  <c r="E54" i="31"/>
  <c r="E55" i="31"/>
  <c r="E56" i="31"/>
  <c r="E57" i="31"/>
  <c r="F108" i="31"/>
  <c r="F109" i="31"/>
  <c r="F110" i="31"/>
  <c r="I163" i="5"/>
  <c r="I165" i="5"/>
  <c r="BE52" i="31"/>
  <c r="J62" i="31"/>
  <c r="D29" i="31"/>
  <c r="D30" i="31"/>
  <c r="D31" i="31"/>
  <c r="R52" i="31"/>
  <c r="D53" i="31"/>
  <c r="D54" i="31"/>
  <c r="D55" i="31"/>
  <c r="D56" i="31"/>
  <c r="D57" i="31"/>
  <c r="I85" i="31"/>
  <c r="I86" i="31"/>
  <c r="T57" i="5"/>
  <c r="S84" i="5"/>
  <c r="AQ53" i="31"/>
  <c r="AQ54" i="31"/>
  <c r="AQ55" i="31"/>
  <c r="AQ56" i="31"/>
  <c r="AQ57" i="31"/>
  <c r="E172" i="5"/>
  <c r="E180" i="5"/>
  <c r="Y54" i="31"/>
  <c r="Y55" i="31"/>
  <c r="Y56" i="31"/>
  <c r="Y57" i="31"/>
  <c r="AM53" i="31"/>
  <c r="O166" i="5"/>
  <c r="Y56" i="5"/>
  <c r="U74" i="5"/>
  <c r="K172" i="5"/>
  <c r="O172" i="5"/>
  <c r="S172" i="5"/>
  <c r="J172" i="5"/>
  <c r="N172" i="5"/>
  <c r="R172" i="5"/>
  <c r="I172" i="5"/>
  <c r="M172" i="5"/>
  <c r="Q172" i="5"/>
  <c r="G165" i="5"/>
  <c r="G166" i="5"/>
  <c r="J67" i="31"/>
  <c r="F165" i="5"/>
  <c r="F163" i="5"/>
  <c r="K163" i="5"/>
  <c r="K165" i="5"/>
  <c r="T74" i="5"/>
  <c r="V56" i="5"/>
  <c r="H111" i="31"/>
  <c r="H83" i="31"/>
  <c r="H85" i="31"/>
  <c r="H86" i="31"/>
  <c r="M111" i="31"/>
  <c r="M67" i="31"/>
  <c r="M83" i="31"/>
  <c r="M85" i="31"/>
  <c r="M86" i="31"/>
  <c r="R56" i="5"/>
  <c r="S66" i="5"/>
  <c r="V161" i="5"/>
  <c r="F172" i="5"/>
  <c r="F180" i="5"/>
  <c r="F111" i="31"/>
  <c r="F83" i="31"/>
  <c r="F85" i="31"/>
  <c r="F86" i="31"/>
  <c r="L67" i="31"/>
  <c r="J111" i="31"/>
  <c r="J83" i="31"/>
  <c r="J85" i="31"/>
  <c r="J86" i="31"/>
  <c r="H165" i="5"/>
  <c r="H163" i="5"/>
  <c r="I174" i="5"/>
  <c r="M174" i="5"/>
  <c r="Q174" i="5"/>
  <c r="M163" i="5"/>
  <c r="M165" i="5"/>
  <c r="K176" i="5"/>
  <c r="O176" i="5"/>
  <c r="S176" i="5"/>
  <c r="Z166" i="5"/>
  <c r="T82" i="5"/>
  <c r="W56" i="5"/>
  <c r="G180" i="5"/>
  <c r="L166" i="5"/>
  <c r="E111" i="31"/>
  <c r="E83" i="31"/>
  <c r="E85" i="31"/>
  <c r="E86" i="31"/>
  <c r="U66" i="5"/>
  <c r="X56" i="5"/>
  <c r="D163" i="5"/>
  <c r="D172" i="5"/>
  <c r="D165" i="5"/>
  <c r="H172" i="5"/>
  <c r="L172" i="5"/>
  <c r="P172" i="5"/>
  <c r="P56" i="5"/>
  <c r="R74" i="5"/>
  <c r="R82" i="5"/>
  <c r="Q56" i="5"/>
  <c r="T66" i="5"/>
  <c r="U56" i="5"/>
  <c r="J165" i="5"/>
  <c r="Z161" i="5"/>
  <c r="J163" i="5"/>
  <c r="U161" i="5"/>
  <c r="S56" i="5"/>
  <c r="S74" i="5"/>
  <c r="Z165" i="5"/>
  <c r="I166" i="5"/>
  <c r="E163" i="5"/>
  <c r="E165" i="5"/>
  <c r="O168" i="5"/>
  <c r="O56" i="5"/>
  <c r="Z57" i="5"/>
  <c r="U84" i="5"/>
  <c r="Z60" i="5"/>
  <c r="U87" i="5"/>
  <c r="U83" i="5"/>
  <c r="Z58" i="5"/>
  <c r="U85" i="5"/>
  <c r="Z59" i="5"/>
  <c r="U86" i="5"/>
  <c r="Z61" i="5"/>
  <c r="U88" i="5"/>
  <c r="C8" i="5"/>
  <c r="C104" i="5"/>
  <c r="C16" i="5"/>
  <c r="C113" i="5"/>
  <c r="C7" i="31"/>
  <c r="C18" i="31"/>
  <c r="BC52" i="31"/>
  <c r="AO53" i="31"/>
  <c r="AO54" i="31"/>
  <c r="AO55" i="31"/>
  <c r="AO56" i="31"/>
  <c r="AO57" i="31"/>
  <c r="Z52" i="31"/>
  <c r="L53" i="31"/>
  <c r="L54" i="31"/>
  <c r="L55" i="31"/>
  <c r="L56" i="31"/>
  <c r="L57" i="31"/>
  <c r="U52" i="31"/>
  <c r="G53" i="31"/>
  <c r="G54" i="31"/>
  <c r="G55" i="31"/>
  <c r="G56" i="31"/>
  <c r="G57" i="31"/>
  <c r="G108" i="31"/>
  <c r="G109" i="31"/>
  <c r="G110" i="31"/>
  <c r="N168" i="5"/>
  <c r="BS52" i="31"/>
  <c r="I168" i="5"/>
  <c r="H30" i="31"/>
  <c r="H31" i="31"/>
  <c r="L85" i="31"/>
  <c r="L86" i="31"/>
  <c r="G30" i="31"/>
  <c r="G31" i="31"/>
  <c r="V53" i="31"/>
  <c r="V54" i="31"/>
  <c r="V55" i="31"/>
  <c r="V56" i="31"/>
  <c r="V57" i="31"/>
  <c r="AJ52" i="31"/>
  <c r="L168" i="5"/>
  <c r="N85" i="31"/>
  <c r="N86" i="31"/>
  <c r="W52" i="31"/>
  <c r="I53" i="31"/>
  <c r="I54" i="31"/>
  <c r="I55" i="31"/>
  <c r="I56" i="31"/>
  <c r="I57" i="31"/>
  <c r="N166" i="5"/>
  <c r="N53" i="31"/>
  <c r="N54" i="31"/>
  <c r="N55" i="31"/>
  <c r="N56" i="31"/>
  <c r="N57" i="31"/>
  <c r="AB52" i="31"/>
  <c r="N108" i="31"/>
  <c r="N109" i="31"/>
  <c r="N110" i="31"/>
  <c r="AG52" i="31"/>
  <c r="S53" i="31"/>
  <c r="S54" i="31"/>
  <c r="S55" i="31"/>
  <c r="S56" i="31"/>
  <c r="S57" i="31"/>
  <c r="L108" i="31"/>
  <c r="L109" i="31"/>
  <c r="L110" i="31"/>
  <c r="I108" i="31"/>
  <c r="I109" i="31"/>
  <c r="I110" i="31"/>
  <c r="I30" i="31"/>
  <c r="I31" i="31"/>
  <c r="G85" i="31"/>
  <c r="G86" i="31"/>
  <c r="AV52" i="31"/>
  <c r="AH53" i="31"/>
  <c r="AH54" i="31"/>
  <c r="AH55" i="31"/>
  <c r="AH56" i="31"/>
  <c r="AH57" i="31"/>
  <c r="N30" i="31"/>
  <c r="N31" i="31"/>
  <c r="AL52" i="31"/>
  <c r="X53" i="31"/>
  <c r="X54" i="31"/>
  <c r="X55" i="31"/>
  <c r="X56" i="31"/>
  <c r="X57" i="31"/>
  <c r="R53" i="31"/>
  <c r="R54" i="31"/>
  <c r="R55" i="31"/>
  <c r="R56" i="31"/>
  <c r="R57" i="31"/>
  <c r="AF52" i="31"/>
  <c r="BE53" i="31"/>
  <c r="BE54" i="31"/>
  <c r="BE55" i="31"/>
  <c r="BE56" i="31"/>
  <c r="BE57" i="31"/>
  <c r="G168" i="5"/>
  <c r="I176" i="5"/>
  <c r="M176" i="5"/>
  <c r="Q176" i="5"/>
  <c r="F166" i="5"/>
  <c r="BS53" i="31"/>
  <c r="BS54" i="31"/>
  <c r="BS55" i="31"/>
  <c r="BS56" i="31"/>
  <c r="BS57" i="31"/>
  <c r="U162" i="5"/>
  <c r="AM54" i="31"/>
  <c r="AM55" i="31"/>
  <c r="AM56" i="31"/>
  <c r="AM57" i="31"/>
  <c r="BA53" i="31"/>
  <c r="J166" i="5"/>
  <c r="Y60" i="5"/>
  <c r="U79" i="5"/>
  <c r="Y59" i="5"/>
  <c r="U78" i="5"/>
  <c r="Y61" i="5"/>
  <c r="U80" i="5"/>
  <c r="U75" i="5"/>
  <c r="Y57" i="5"/>
  <c r="U76" i="5"/>
  <c r="Y58" i="5"/>
  <c r="U77" i="5"/>
  <c r="G176" i="5"/>
  <c r="G174" i="5"/>
  <c r="G182" i="5"/>
  <c r="M168" i="5"/>
  <c r="K182" i="5"/>
  <c r="O182" i="5"/>
  <c r="S182" i="5"/>
  <c r="K174" i="5"/>
  <c r="O174" i="5"/>
  <c r="S174" i="5"/>
  <c r="M166" i="5"/>
  <c r="K177" i="5"/>
  <c r="O177" i="5"/>
  <c r="S177" i="5"/>
  <c r="K168" i="5"/>
  <c r="U163" i="5"/>
  <c r="E174" i="5"/>
  <c r="E176" i="5"/>
  <c r="E166" i="5"/>
  <c r="Q61" i="5"/>
  <c r="R88" i="5"/>
  <c r="Q59" i="5"/>
  <c r="R86" i="5"/>
  <c r="Q57" i="5"/>
  <c r="R84" i="5"/>
  <c r="Q58" i="5"/>
  <c r="R85" i="5"/>
  <c r="R83" i="5"/>
  <c r="Q60" i="5"/>
  <c r="R87" i="5"/>
  <c r="X59" i="5"/>
  <c r="U70" i="5"/>
  <c r="X60" i="5"/>
  <c r="U71" i="5"/>
  <c r="U67" i="5"/>
  <c r="X61" i="5"/>
  <c r="U72" i="5"/>
  <c r="X58" i="5"/>
  <c r="U69" i="5"/>
  <c r="X57" i="5"/>
  <c r="U68" i="5"/>
  <c r="H166" i="5"/>
  <c r="I177" i="5"/>
  <c r="M177" i="5"/>
  <c r="Q177" i="5"/>
  <c r="H168" i="5"/>
  <c r="I182" i="5"/>
  <c r="M182" i="5"/>
  <c r="Q182" i="5"/>
  <c r="K166" i="5"/>
  <c r="S75" i="5"/>
  <c r="S58" i="5"/>
  <c r="S77" i="5"/>
  <c r="S57" i="5"/>
  <c r="S76" i="5"/>
  <c r="S61" i="5"/>
  <c r="S80" i="5"/>
  <c r="S59" i="5"/>
  <c r="S78" i="5"/>
  <c r="S60" i="5"/>
  <c r="S79" i="5"/>
  <c r="J176" i="5"/>
  <c r="N176" i="5"/>
  <c r="R176" i="5"/>
  <c r="F176" i="5"/>
  <c r="D176" i="5"/>
  <c r="H176" i="5"/>
  <c r="L176" i="5"/>
  <c r="P176" i="5"/>
  <c r="V57" i="5"/>
  <c r="T76" i="5"/>
  <c r="V60" i="5"/>
  <c r="T79" i="5"/>
  <c r="V61" i="5"/>
  <c r="T80" i="5"/>
  <c r="T75" i="5"/>
  <c r="V58" i="5"/>
  <c r="T77" i="5"/>
  <c r="V59" i="5"/>
  <c r="T78" i="5"/>
  <c r="U61" i="5"/>
  <c r="T72" i="5"/>
  <c r="U60" i="5"/>
  <c r="T71" i="5"/>
  <c r="U58" i="5"/>
  <c r="T69" i="5"/>
  <c r="T67" i="5"/>
  <c r="U59" i="5"/>
  <c r="T70" i="5"/>
  <c r="U57" i="5"/>
  <c r="T68" i="5"/>
  <c r="W61" i="5"/>
  <c r="T88" i="5"/>
  <c r="W57" i="5"/>
  <c r="T84" i="5"/>
  <c r="W58" i="5"/>
  <c r="T85" i="5"/>
  <c r="W60" i="5"/>
  <c r="T87" i="5"/>
  <c r="T83" i="5"/>
  <c r="W59" i="5"/>
  <c r="T86" i="5"/>
  <c r="O57" i="5"/>
  <c r="R68" i="5"/>
  <c r="R67" i="5"/>
  <c r="O59" i="5"/>
  <c r="R70" i="5"/>
  <c r="O58" i="5"/>
  <c r="R69" i="5"/>
  <c r="O61" i="5"/>
  <c r="R72" i="5"/>
  <c r="O60" i="5"/>
  <c r="R71" i="5"/>
  <c r="Z167" i="5"/>
  <c r="Z168" i="5"/>
  <c r="Z169" i="5"/>
  <c r="Z170" i="5"/>
  <c r="Z171" i="5"/>
  <c r="F174" i="5"/>
  <c r="J168" i="5"/>
  <c r="J174" i="5"/>
  <c r="N174" i="5"/>
  <c r="R174" i="5"/>
  <c r="P58" i="5"/>
  <c r="R77" i="5"/>
  <c r="P57" i="5"/>
  <c r="R76" i="5"/>
  <c r="P60" i="5"/>
  <c r="R79" i="5"/>
  <c r="R75" i="5"/>
  <c r="P61" i="5"/>
  <c r="R80" i="5"/>
  <c r="P59" i="5"/>
  <c r="R78" i="5"/>
  <c r="D166" i="5"/>
  <c r="H174" i="5"/>
  <c r="L174" i="5"/>
  <c r="P174" i="5"/>
  <c r="D174" i="5"/>
  <c r="R57" i="5"/>
  <c r="S68" i="5"/>
  <c r="R58" i="5"/>
  <c r="S69" i="5"/>
  <c r="R61" i="5"/>
  <c r="S72" i="5"/>
  <c r="S67" i="5"/>
  <c r="R59" i="5"/>
  <c r="S70" i="5"/>
  <c r="R60" i="5"/>
  <c r="S71" i="5"/>
  <c r="C8" i="31"/>
  <c r="C19" i="31"/>
  <c r="C114" i="5"/>
  <c r="C105" i="5"/>
  <c r="C17" i="5"/>
  <c r="C9" i="5"/>
  <c r="AU52" i="31"/>
  <c r="AG53" i="31"/>
  <c r="AG54" i="31"/>
  <c r="AG55" i="31"/>
  <c r="AG56" i="31"/>
  <c r="AG57" i="31"/>
  <c r="AX52" i="31"/>
  <c r="AJ53" i="31"/>
  <c r="AJ54" i="31"/>
  <c r="AJ55" i="31"/>
  <c r="AJ56" i="31"/>
  <c r="AJ57" i="31"/>
  <c r="AV53" i="31"/>
  <c r="AV54" i="31"/>
  <c r="AV55" i="31"/>
  <c r="AV56" i="31"/>
  <c r="AV57" i="31"/>
  <c r="BJ52" i="31"/>
  <c r="AZ52" i="31"/>
  <c r="AL53" i="31"/>
  <c r="AL54" i="31"/>
  <c r="AL55" i="31"/>
  <c r="AL56" i="31"/>
  <c r="AL57" i="31"/>
  <c r="W53" i="31"/>
  <c r="W54" i="31"/>
  <c r="W55" i="31"/>
  <c r="W56" i="31"/>
  <c r="W57" i="31"/>
  <c r="AK52" i="31"/>
  <c r="AN52" i="31"/>
  <c r="Z53" i="31"/>
  <c r="Z54" i="31"/>
  <c r="Z55" i="31"/>
  <c r="Z56" i="31"/>
  <c r="Z57" i="31"/>
  <c r="AP52" i="31"/>
  <c r="AB53" i="31"/>
  <c r="AB54" i="31"/>
  <c r="AB55" i="31"/>
  <c r="AB56" i="31"/>
  <c r="AB57" i="31"/>
  <c r="AI52" i="31"/>
  <c r="U53" i="31"/>
  <c r="U54" i="31"/>
  <c r="U55" i="31"/>
  <c r="U56" i="31"/>
  <c r="U57" i="31"/>
  <c r="BC53" i="31"/>
  <c r="BC54" i="31"/>
  <c r="BC55" i="31"/>
  <c r="BC56" i="31"/>
  <c r="BC57" i="31"/>
  <c r="BQ52" i="31"/>
  <c r="AF53" i="31"/>
  <c r="AF54" i="31"/>
  <c r="AF55" i="31"/>
  <c r="AF56" i="31"/>
  <c r="AF57" i="31"/>
  <c r="AT52" i="31"/>
  <c r="F177" i="5"/>
  <c r="D178" i="5"/>
  <c r="BJ53" i="31"/>
  <c r="BJ54" i="31"/>
  <c r="BJ55" i="31"/>
  <c r="BJ56" i="31"/>
  <c r="BJ57" i="31"/>
  <c r="BA54" i="31"/>
  <c r="BA55" i="31"/>
  <c r="BA56" i="31"/>
  <c r="BA57" i="31"/>
  <c r="BO53" i="31"/>
  <c r="G177" i="5"/>
  <c r="U165" i="5"/>
  <c r="U166" i="5"/>
  <c r="G178" i="5"/>
  <c r="G181" i="5"/>
  <c r="J177" i="5"/>
  <c r="N177" i="5"/>
  <c r="R177" i="5"/>
  <c r="J182" i="5"/>
  <c r="N182" i="5"/>
  <c r="R182" i="5"/>
  <c r="E178" i="5"/>
  <c r="E181" i="5"/>
  <c r="E182" i="5"/>
  <c r="E177" i="5"/>
  <c r="F178" i="5"/>
  <c r="F181" i="5"/>
  <c r="F182" i="5"/>
  <c r="H177" i="5"/>
  <c r="L177" i="5"/>
  <c r="P177" i="5"/>
  <c r="D177" i="5"/>
  <c r="C9" i="31"/>
  <c r="C20" i="31"/>
  <c r="C115" i="5"/>
  <c r="C10" i="5"/>
  <c r="C106" i="5"/>
  <c r="C18" i="5"/>
  <c r="BQ53" i="31"/>
  <c r="AY52" i="31"/>
  <c r="AK53" i="31"/>
  <c r="AK54" i="31"/>
  <c r="AK55" i="31"/>
  <c r="AK56" i="31"/>
  <c r="AK57" i="31"/>
  <c r="AX53" i="31"/>
  <c r="AX54" i="31"/>
  <c r="AX55" i="31"/>
  <c r="AX56" i="31"/>
  <c r="AX57" i="31"/>
  <c r="BL52" i="31"/>
  <c r="AW52" i="31"/>
  <c r="AI53" i="31"/>
  <c r="AI54" i="31"/>
  <c r="AI55" i="31"/>
  <c r="AI56" i="31"/>
  <c r="AI57" i="31"/>
  <c r="AP53" i="31"/>
  <c r="AP54" i="31"/>
  <c r="AP55" i="31"/>
  <c r="AP56" i="31"/>
  <c r="AP57" i="31"/>
  <c r="BD52" i="31"/>
  <c r="AN53" i="31"/>
  <c r="AN54" i="31"/>
  <c r="AN55" i="31"/>
  <c r="AN56" i="31"/>
  <c r="AN57" i="31"/>
  <c r="BB52" i="31"/>
  <c r="BN52" i="31"/>
  <c r="AZ53" i="31"/>
  <c r="AZ54" i="31"/>
  <c r="AZ55" i="31"/>
  <c r="AZ56" i="31"/>
  <c r="AZ57" i="31"/>
  <c r="AU53" i="31"/>
  <c r="AU54" i="31"/>
  <c r="AU55" i="31"/>
  <c r="AU56" i="31"/>
  <c r="AU57" i="31"/>
  <c r="BI52" i="31"/>
  <c r="BH52" i="31"/>
  <c r="AT53" i="31"/>
  <c r="AT54" i="31"/>
  <c r="AT55" i="31"/>
  <c r="AT56" i="31"/>
  <c r="AT57" i="31"/>
  <c r="BI53" i="31"/>
  <c r="BI54" i="31"/>
  <c r="BI55" i="31"/>
  <c r="BI56" i="31"/>
  <c r="BI57" i="31"/>
  <c r="BO54" i="31"/>
  <c r="BO55" i="31"/>
  <c r="BO56" i="31"/>
  <c r="BO57" i="31"/>
  <c r="C107" i="5"/>
  <c r="C19" i="5"/>
  <c r="C10" i="31"/>
  <c r="C21" i="31"/>
  <c r="C116" i="5"/>
  <c r="BK52" i="31"/>
  <c r="AW53" i="31"/>
  <c r="AW54" i="31"/>
  <c r="AW55" i="31"/>
  <c r="AW56" i="31"/>
  <c r="AW57" i="31"/>
  <c r="AY53" i="31"/>
  <c r="AY54" i="31"/>
  <c r="AY55" i="31"/>
  <c r="AY56" i="31"/>
  <c r="AY57" i="31"/>
  <c r="BM52" i="31"/>
  <c r="BM53" i="31"/>
  <c r="BM54" i="31"/>
  <c r="BM55" i="31"/>
  <c r="BM56" i="31"/>
  <c r="BM57" i="31"/>
  <c r="BR52" i="31"/>
  <c r="BD53" i="31"/>
  <c r="BD54" i="31"/>
  <c r="BD55" i="31"/>
  <c r="BD56" i="31"/>
  <c r="BD57" i="31"/>
  <c r="BL53" i="31"/>
  <c r="BL54" i="31"/>
  <c r="BL55" i="31"/>
  <c r="BL56" i="31"/>
  <c r="BL57" i="31"/>
  <c r="BB53" i="31"/>
  <c r="BB54" i="31"/>
  <c r="BB55" i="31"/>
  <c r="BB56" i="31"/>
  <c r="BB57" i="31"/>
  <c r="BP52" i="31"/>
  <c r="F61" i="31"/>
  <c r="BN53" i="31"/>
  <c r="BQ54" i="31"/>
  <c r="BH53" i="31"/>
  <c r="D61" i="31"/>
  <c r="C117" i="5"/>
  <c r="C11" i="31"/>
  <c r="C22" i="31"/>
  <c r="BN54" i="31"/>
  <c r="BQ55" i="31"/>
  <c r="BP53" i="31"/>
  <c r="BP54" i="31"/>
  <c r="BP55" i="31"/>
  <c r="BP56" i="31"/>
  <c r="BP57" i="31"/>
  <c r="BR53" i="31"/>
  <c r="G61" i="31"/>
  <c r="BK53" i="31"/>
  <c r="E61" i="31"/>
  <c r="D62" i="31"/>
  <c r="BH54" i="31"/>
  <c r="BK54" i="31"/>
  <c r="E62" i="31"/>
  <c r="BQ56" i="31"/>
  <c r="BR54" i="31"/>
  <c r="G62" i="31"/>
  <c r="F62" i="31"/>
  <c r="F63" i="31"/>
  <c r="BN55" i="31"/>
  <c r="BH55" i="31"/>
  <c r="D63" i="31"/>
  <c r="BQ57" i="31"/>
  <c r="F64" i="31"/>
  <c r="BN56" i="31"/>
  <c r="BR55" i="31"/>
  <c r="G63" i="31"/>
  <c r="E63" i="31"/>
  <c r="BK55" i="31"/>
  <c r="BH56" i="31"/>
  <c r="D64" i="31"/>
  <c r="BR56" i="31"/>
  <c r="G64" i="31"/>
  <c r="BK56" i="31"/>
  <c r="E64" i="31"/>
  <c r="F65" i="31"/>
  <c r="BN57" i="31"/>
  <c r="F66" i="31"/>
  <c r="D65" i="31"/>
  <c r="BH57" i="31"/>
  <c r="D66" i="31"/>
  <c r="E65" i="31"/>
  <c r="BK57" i="31"/>
  <c r="E66" i="31"/>
  <c r="BR57" i="31"/>
  <c r="G66" i="31"/>
  <c r="G65" i="31"/>
</calcChain>
</file>

<file path=xl/sharedStrings.xml><?xml version="1.0" encoding="utf-8"?>
<sst xmlns="http://schemas.openxmlformats.org/spreadsheetml/2006/main" count="977" uniqueCount="400">
  <si>
    <t>Staged Mixotrophic cultivation Exp 2</t>
  </si>
  <si>
    <t>Volume (nL)</t>
  </si>
  <si>
    <t>Volume (mL)</t>
  </si>
  <si>
    <t>Diluted cells/ mL</t>
  </si>
  <si>
    <t>Dilution factor</t>
  </si>
  <si>
    <t>Inoculum cells/ mL</t>
  </si>
  <si>
    <t>Media</t>
  </si>
  <si>
    <t>Total KH2PO4:</t>
  </si>
  <si>
    <t>Adjusted pH:</t>
  </si>
  <si>
    <t>Vol of media prepared (mL)</t>
  </si>
  <si>
    <t>Vol of media used (mL)</t>
  </si>
  <si>
    <t>NH4Cl (g/ L)</t>
  </si>
  <si>
    <t>Date</t>
  </si>
  <si>
    <t>Time</t>
  </si>
  <si>
    <t>OD 550</t>
  </si>
  <si>
    <t>OD 680</t>
  </si>
  <si>
    <t>Carbon Sources</t>
  </si>
  <si>
    <t>Soluble Carbon Conc (g/ L)</t>
  </si>
  <si>
    <t>Vol prepared (mL)</t>
  </si>
  <si>
    <t>Vol added / culture (mL)</t>
  </si>
  <si>
    <t>Mass substrate (g)</t>
  </si>
  <si>
    <t>Nitrogen (mg/ L)</t>
  </si>
  <si>
    <t>Vol (mL)</t>
  </si>
  <si>
    <t>Cell counts:</t>
  </si>
  <si>
    <t>Average</t>
  </si>
  <si>
    <t>SD</t>
  </si>
  <si>
    <t>Cells</t>
  </si>
  <si>
    <t>Need:</t>
  </si>
  <si>
    <t>vol (mL)</t>
  </si>
  <si>
    <t>DW for lipid/ starch</t>
  </si>
  <si>
    <t>w/ algae</t>
  </si>
  <si>
    <t>Stage 2</t>
  </si>
  <si>
    <t>Fresh 2341 stock was prepared from plated colonies</t>
  </si>
  <si>
    <t>Stage 1 culture Prep</t>
  </si>
  <si>
    <t>Stage 2 preparation</t>
  </si>
  <si>
    <t>Bottle 1</t>
  </si>
  <si>
    <t>Bottle 2</t>
  </si>
  <si>
    <t>Hour</t>
  </si>
  <si>
    <t>Culture 1</t>
  </si>
  <si>
    <t>Culture 2</t>
  </si>
  <si>
    <t>Culture 3</t>
  </si>
  <si>
    <t>Culture 4</t>
  </si>
  <si>
    <t>Culture 5</t>
  </si>
  <si>
    <t>Culture 6</t>
  </si>
  <si>
    <t>Culture 7</t>
  </si>
  <si>
    <t>Culture 8</t>
  </si>
  <si>
    <t>Culture 9</t>
  </si>
  <si>
    <t>Culture 10</t>
  </si>
  <si>
    <t>Culture 11</t>
  </si>
  <si>
    <t>Culture 12</t>
  </si>
  <si>
    <t>10 g/ L Glc</t>
  </si>
  <si>
    <t>Upper CI</t>
  </si>
  <si>
    <t>Lower CI</t>
  </si>
  <si>
    <t>OD-DW Correlation</t>
  </si>
  <si>
    <t>Conc Factor</t>
  </si>
  <si>
    <t>Temperature(°C)</t>
  </si>
  <si>
    <t>Culture #</t>
  </si>
  <si>
    <t>empty 15 ml tube</t>
  </si>
  <si>
    <t>Conc (g/ L)</t>
  </si>
  <si>
    <t>DW (mg)</t>
  </si>
  <si>
    <t>Ending DW conc (g/ L)</t>
  </si>
  <si>
    <t>Conce Factor</t>
  </si>
  <si>
    <t>Cultures 1-3</t>
  </si>
  <si>
    <t>Cultures 4-6</t>
  </si>
  <si>
    <t>Cultures 7-9</t>
  </si>
  <si>
    <t>Cultures 10-12</t>
  </si>
  <si>
    <t>Bottle 3</t>
  </si>
  <si>
    <t>SE</t>
  </si>
  <si>
    <t>Final conc (g/ L)</t>
  </si>
  <si>
    <t>Antibiotics</t>
  </si>
  <si>
    <t>Added to</t>
  </si>
  <si>
    <t>Final conc (ug/ ml)</t>
  </si>
  <si>
    <t>Conc (mg/ ml)</t>
  </si>
  <si>
    <t>Vol added (ul)</t>
  </si>
  <si>
    <t>Volume of DI (ml)</t>
  </si>
  <si>
    <t>0 g/ L</t>
  </si>
  <si>
    <t>0.5 g/ L</t>
  </si>
  <si>
    <t>2 g/ L</t>
  </si>
  <si>
    <t>10 g/ L</t>
  </si>
  <si>
    <t>Glucose</t>
  </si>
  <si>
    <t>Averages Based on Treatment</t>
  </si>
  <si>
    <t>95% CI</t>
  </si>
  <si>
    <t>Net Change over 5 days</t>
  </si>
  <si>
    <t>Day</t>
  </si>
  <si>
    <t>Bad chromatograph</t>
  </si>
  <si>
    <t>This culture is pH adjusted</t>
  </si>
  <si>
    <t>Dry Weight Curves</t>
  </si>
  <si>
    <t>A</t>
  </si>
  <si>
    <t>Final</t>
  </si>
  <si>
    <t>Biomass composition sample</t>
  </si>
  <si>
    <t>Sample</t>
  </si>
  <si>
    <t>Empty</t>
  </si>
  <si>
    <t>Algae weight (mg)</t>
  </si>
  <si>
    <t>5 Day Biomass Productivity</t>
  </si>
  <si>
    <t>Final Lipid Content</t>
  </si>
  <si>
    <t>5 Day Lipid Productivity</t>
  </si>
  <si>
    <t>Final Starch + glycogen content</t>
  </si>
  <si>
    <t>5 Day starch + glycogen productivity</t>
  </si>
  <si>
    <t>5 Day Other Biomass Productivity</t>
  </si>
  <si>
    <t>5 Day Biomass Productivity (mg/ L/ d)</t>
  </si>
  <si>
    <t>5 Day Starch + Glycogen Productivity</t>
  </si>
  <si>
    <t>5 Day Biofuel Precorsor Productivity</t>
  </si>
  <si>
    <t>Biomass conversion efficiency</t>
  </si>
  <si>
    <t>Biofuel precursor conversion efficiency (mass)</t>
  </si>
  <si>
    <t>Biofuel precursor conversion efficiency (energy)</t>
  </si>
  <si>
    <t>Energy (KJ/ mol)</t>
  </si>
  <si>
    <t>MW (g/ mol)</t>
  </si>
  <si>
    <t>Energy (KJ/ mg)</t>
  </si>
  <si>
    <t>Source:</t>
  </si>
  <si>
    <t>16:0 FA</t>
  </si>
  <si>
    <t>Garrett and Grisham</t>
  </si>
  <si>
    <t>Starch</t>
  </si>
  <si>
    <t>Missing sample</t>
  </si>
  <si>
    <t>Lactate</t>
  </si>
  <si>
    <t>Formate</t>
  </si>
  <si>
    <t>Acetate</t>
  </si>
  <si>
    <t>mg/ L Acetate consumed</t>
  </si>
  <si>
    <t>Consumption/ Production</t>
  </si>
  <si>
    <t>(h2O as liquid)</t>
  </si>
  <si>
    <t>Acetate consumption</t>
  </si>
  <si>
    <t>Atkins</t>
  </si>
  <si>
    <t>Unknown 1</t>
  </si>
  <si>
    <t>Re-run of post-run analysis on above data, incorproating peak area at RT 9.7</t>
  </si>
  <si>
    <t>Unknown 2</t>
  </si>
  <si>
    <t>Consumption/ Production over 5 days</t>
  </si>
  <si>
    <t>Axenic Acetate</t>
  </si>
  <si>
    <t>Acetate weight</t>
  </si>
  <si>
    <t>Adjusted pH to 7.2, sterile filtered 0.2 um</t>
  </si>
  <si>
    <t>Growth Kinetics</t>
  </si>
  <si>
    <t>Substrate concentration</t>
  </si>
  <si>
    <t>Day 1 only</t>
  </si>
  <si>
    <t>Time interval: 1 day</t>
  </si>
  <si>
    <t>Productivity (g/ L/ day)</t>
  </si>
  <si>
    <t>Average conc (g/ L)</t>
  </si>
  <si>
    <t>Specific growth (1/ day)</t>
  </si>
  <si>
    <t>1/ mu (day)</t>
  </si>
  <si>
    <t>[S] (g/ L)</t>
  </si>
  <si>
    <t>1/ [S] (L/ g)</t>
  </si>
  <si>
    <t>neg 1/ km  =</t>
  </si>
  <si>
    <t>1/ vmax =</t>
  </si>
  <si>
    <t xml:space="preserve">km = </t>
  </si>
  <si>
    <t xml:space="preserve">vmax = </t>
  </si>
  <si>
    <t>Predicted growth rates (mu) based on Monod kinetics</t>
  </si>
  <si>
    <t>Iteration 1</t>
  </si>
  <si>
    <t>Iteration 2</t>
  </si>
  <si>
    <t>Iteration 3</t>
  </si>
  <si>
    <t>Iteration 4</t>
  </si>
  <si>
    <t>Iteration 5</t>
  </si>
  <si>
    <t>Last iteration average</t>
  </si>
  <si>
    <t>Actual average</t>
  </si>
  <si>
    <t>0 g/ L mod</t>
  </si>
  <si>
    <t>0.5 g/ L mod</t>
  </si>
  <si>
    <t>2 g/ L mod</t>
  </si>
  <si>
    <t>10 g/ L mod</t>
  </si>
  <si>
    <t>0 g/ L act</t>
  </si>
  <si>
    <t>0.5 g/ L act</t>
  </si>
  <si>
    <t>2 g/ L act</t>
  </si>
  <si>
    <t>10 g/ L act</t>
  </si>
  <si>
    <t>Predictive 5 Day Model (not Monod)</t>
  </si>
  <si>
    <t>Initial conc (g/ L)</t>
  </si>
  <si>
    <t>initial [S] (g/ L)</t>
  </si>
  <si>
    <t>Predicted specific growth</t>
  </si>
  <si>
    <t>Initial biomass (g/ L)</t>
  </si>
  <si>
    <t>Estimated productivity</t>
  </si>
  <si>
    <t>Estimated production</t>
  </si>
  <si>
    <t>Estiamted final biomass (g/ L)</t>
  </si>
  <si>
    <t>Actual final biomass (g/ L)</t>
  </si>
  <si>
    <t>Stdev</t>
  </si>
  <si>
    <t>Matlab Results</t>
  </si>
  <si>
    <t>For MichaelFitSubstrate</t>
  </si>
  <si>
    <t>Value</t>
  </si>
  <si>
    <t>95% CI low</t>
  </si>
  <si>
    <t>95% CI upper</t>
  </si>
  <si>
    <t xml:space="preserve">Equation: </t>
  </si>
  <si>
    <t xml:space="preserve">mu = muMax*S/(S + k + s^2/kS) </t>
  </si>
  <si>
    <t>k =</t>
  </si>
  <si>
    <t xml:space="preserve">v = vMax*S/(S + k + s^2/kS) </t>
  </si>
  <si>
    <t>km =</t>
  </si>
  <si>
    <t xml:space="preserve">muMax = </t>
  </si>
  <si>
    <t xml:space="preserve">vMax = </t>
  </si>
  <si>
    <t>kS =</t>
  </si>
  <si>
    <t>v = vMax*S/(S + k + s^2/kS) + A</t>
  </si>
  <si>
    <t>g/ L/ day</t>
  </si>
  <si>
    <t>P value for comparing 2 and 10 g/L cultures</t>
  </si>
  <si>
    <t>Difference:</t>
  </si>
  <si>
    <t xml:space="preserve">Ho = </t>
  </si>
  <si>
    <t xml:space="preserve">t = </t>
  </si>
  <si>
    <t xml:space="preserve">p = </t>
  </si>
  <si>
    <t>Treat as paired data:</t>
  </si>
  <si>
    <t>Treat as independent groups:</t>
  </si>
  <si>
    <t>Ybar1</t>
  </si>
  <si>
    <t>Ybar2</t>
  </si>
  <si>
    <t>u1 - u2, hyp</t>
  </si>
  <si>
    <t>var1</t>
  </si>
  <si>
    <t>var2</t>
  </si>
  <si>
    <t>var pooled</t>
  </si>
  <si>
    <t>s pooled</t>
  </si>
  <si>
    <t>s (ybar1 - ybar2)</t>
  </si>
  <si>
    <t>n</t>
  </si>
  <si>
    <t>This stock was grown for innoculation into the experimental set-up</t>
  </si>
  <si>
    <t>None</t>
  </si>
  <si>
    <t>Glucose Stock Soln (20%) - 50 ml</t>
  </si>
  <si>
    <t>Glucose (g)</t>
  </si>
  <si>
    <t>Glucose Soln 1</t>
  </si>
  <si>
    <t>Total needed:</t>
  </si>
  <si>
    <t>Adjusted pH to 7 in all cultures, 3 drops 3M NaOH to pH 6.5</t>
  </si>
  <si>
    <t>Control</t>
  </si>
  <si>
    <t>Thiamine</t>
  </si>
  <si>
    <t>Pantothenic</t>
  </si>
  <si>
    <t>Thiamine and Pantothenic</t>
  </si>
  <si>
    <t>Pyruvate</t>
  </si>
  <si>
    <t>Succinate</t>
  </si>
  <si>
    <t>Fumarate</t>
  </si>
  <si>
    <t>Thi</t>
  </si>
  <si>
    <t>Pant</t>
  </si>
  <si>
    <t>Thi+Pant</t>
  </si>
  <si>
    <t>Glucose consumed</t>
  </si>
  <si>
    <t>Pyruvate secreted</t>
  </si>
  <si>
    <t>0 g/L Glc</t>
  </si>
  <si>
    <t>Metabolomics quench</t>
  </si>
  <si>
    <t>RNA</t>
  </si>
  <si>
    <t>OD/ pH sample</t>
  </si>
  <si>
    <t>1 ml + 1 ml MeOH</t>
  </si>
  <si>
    <t>2 ml</t>
  </si>
  <si>
    <t>10 ml</t>
  </si>
  <si>
    <t>Final harvest</t>
  </si>
  <si>
    <t>1 ml</t>
  </si>
  <si>
    <t>Adjusted pH to 7 in all cultures, added 8 drops to pH 5</t>
  </si>
  <si>
    <t>Adjusted pH to 7, added 5 drops to pH 6</t>
  </si>
  <si>
    <t>Adjusted pH to 7, add 3 drops to pH 6.5</t>
  </si>
  <si>
    <t>Obj 2 Exp 6, Mixotrophic metabolomics and RNA</t>
  </si>
  <si>
    <t>10 g/L Glc</t>
  </si>
  <si>
    <t>Cultures 1-6</t>
  </si>
  <si>
    <t>Cultures 7-12</t>
  </si>
  <si>
    <t>Day 3 Thiamine samples - 10 ml harvested from each culture</t>
  </si>
  <si>
    <t>Concentrated and transferred pellet to 2 ml screw cap tubes, stored at -80, freeze dried</t>
  </si>
  <si>
    <t>Empty tube</t>
  </si>
  <si>
    <t>w/ dry pellet</t>
  </si>
  <si>
    <t>Pellet (mg)</t>
  </si>
  <si>
    <t>Day 6 Thiamine samples - final harvest, of which, weighed out ?? Mg of dry mass into 2 ml screw-cap tubes</t>
  </si>
  <si>
    <t>Cold MeOH extraction method</t>
  </si>
  <si>
    <t>TCA extraction method</t>
  </si>
  <si>
    <t>Objective 2 Experiment 6</t>
  </si>
  <si>
    <t>Mixotrophic Metabolomics Analysis</t>
  </si>
  <si>
    <t>Cultures #1-6 were supplied with 10 g/L glucose, cultures #7-12 were not supplied with glucose (autotrophic)</t>
  </si>
  <si>
    <t>Cultures were grown with 125 ml/min air, 10,000 lux illumination</t>
  </si>
  <si>
    <t>Code (top label)</t>
  </si>
  <si>
    <t>Code (side label)</t>
  </si>
  <si>
    <t>Axenic Chlorella minutissima (UTEX 2341) was grown under mixotrophic and autotrophic conditions to compare metabolome</t>
  </si>
  <si>
    <t>Glucose conc (g/L)</t>
  </si>
  <si>
    <t>Sample day</t>
  </si>
  <si>
    <t>BH1</t>
  </si>
  <si>
    <t>D1 #1 Obj 2 Exp 6, MixMetab BH</t>
  </si>
  <si>
    <t>10 g/L</t>
  </si>
  <si>
    <t>BH2</t>
  </si>
  <si>
    <t>BH3</t>
  </si>
  <si>
    <t>BH4</t>
  </si>
  <si>
    <t>BH5</t>
  </si>
  <si>
    <t>BH6</t>
  </si>
  <si>
    <t>BH7</t>
  </si>
  <si>
    <t>BH8</t>
  </si>
  <si>
    <t>BH9</t>
  </si>
  <si>
    <t>BH10</t>
  </si>
  <si>
    <t>BH11</t>
  </si>
  <si>
    <t>BH12</t>
  </si>
  <si>
    <t>BH13</t>
  </si>
  <si>
    <t>BH14</t>
  </si>
  <si>
    <t>BH15</t>
  </si>
  <si>
    <t>BH16</t>
  </si>
  <si>
    <t>BH17</t>
  </si>
  <si>
    <t>BH18</t>
  </si>
  <si>
    <t>BH19</t>
  </si>
  <si>
    <t>BH20</t>
  </si>
  <si>
    <t>BH21</t>
  </si>
  <si>
    <t>BH22</t>
  </si>
  <si>
    <t>BH23</t>
  </si>
  <si>
    <t>BH24</t>
  </si>
  <si>
    <t>BH25</t>
  </si>
  <si>
    <t>BH26</t>
  </si>
  <si>
    <t>BH27</t>
  </si>
  <si>
    <t>BH28</t>
  </si>
  <si>
    <t>BH29</t>
  </si>
  <si>
    <t>BH30</t>
  </si>
  <si>
    <t>BH31</t>
  </si>
  <si>
    <t>BH32</t>
  </si>
  <si>
    <t>BH33</t>
  </si>
  <si>
    <t>BH34</t>
  </si>
  <si>
    <t>BH35</t>
  </si>
  <si>
    <t>BH36</t>
  </si>
  <si>
    <t>BH37</t>
  </si>
  <si>
    <t>BH38</t>
  </si>
  <si>
    <t>BH39</t>
  </si>
  <si>
    <t>BH40</t>
  </si>
  <si>
    <t>BH41</t>
  </si>
  <si>
    <t>BH42</t>
  </si>
  <si>
    <t>BH43</t>
  </si>
  <si>
    <t>BH44</t>
  </si>
  <si>
    <t>BH45</t>
  </si>
  <si>
    <t>BH46</t>
  </si>
  <si>
    <t>BH47</t>
  </si>
  <si>
    <t>BH48</t>
  </si>
  <si>
    <t>BH49</t>
  </si>
  <si>
    <t>BH50</t>
  </si>
  <si>
    <t>BH51</t>
  </si>
  <si>
    <t>BH52</t>
  </si>
  <si>
    <t>BH53</t>
  </si>
  <si>
    <t>BH54</t>
  </si>
  <si>
    <t>BH55</t>
  </si>
  <si>
    <t>BH56</t>
  </si>
  <si>
    <t>BH57</t>
  </si>
  <si>
    <t>BH58</t>
  </si>
  <si>
    <t>BH59</t>
  </si>
  <si>
    <t>BH60</t>
  </si>
  <si>
    <t>BH61</t>
  </si>
  <si>
    <t>BH62</t>
  </si>
  <si>
    <t>BH63</t>
  </si>
  <si>
    <t>BH64</t>
  </si>
  <si>
    <t>BH65</t>
  </si>
  <si>
    <t>BH66</t>
  </si>
  <si>
    <t>BH67</t>
  </si>
  <si>
    <t>BH68</t>
  </si>
  <si>
    <t>BH69</t>
  </si>
  <si>
    <t>BH70</t>
  </si>
  <si>
    <t>BH71</t>
  </si>
  <si>
    <t>BH72</t>
  </si>
  <si>
    <t>D1 #2 Obj 2 Exp 6, MixMetab BH</t>
  </si>
  <si>
    <t>D1 #3 Obj 2 Exp 6, MixMetab BH</t>
  </si>
  <si>
    <t>D1 #4 Obj 2 Exp 6, MixMetab BH</t>
  </si>
  <si>
    <t>D1 #5 Obj 2 Exp 6, MixMetab BH</t>
  </si>
  <si>
    <t>D1 #6 Obj 2 Exp 6, MixMetab BH</t>
  </si>
  <si>
    <t>D1 #7 Obj 2 Exp 6, MixMetab BH</t>
  </si>
  <si>
    <t>D1 #8 Obj 2 Exp 6, MixMetab BH</t>
  </si>
  <si>
    <t>D1 #9 Obj 2 Exp 6, MixMetab BH</t>
  </si>
  <si>
    <t>D1 #10 Obj 2 Exp 6, MixMetab BH</t>
  </si>
  <si>
    <t>D1 #11 Obj 2 Exp 6, MixMetab BH</t>
  </si>
  <si>
    <t>D1 #12 Obj 2 Exp 6, MixMetab BH</t>
  </si>
  <si>
    <t>0 g/L</t>
  </si>
  <si>
    <t>D2 #1 Obj 2 Exp 6, MixMetab BH</t>
  </si>
  <si>
    <t>D2 #2 Obj 2 Exp 6, MixMetab BH</t>
  </si>
  <si>
    <t>D2 #3 Obj 2 Exp 6, MixMetab BH</t>
  </si>
  <si>
    <t>D2 #4 Obj 2 Exp 6, MixMetab BH</t>
  </si>
  <si>
    <t>D2 #5 Obj 2 Exp 6, MixMetab BH</t>
  </si>
  <si>
    <t>D2 #6 Obj 2 Exp 6, MixMetab BH</t>
  </si>
  <si>
    <t>D2 #7 Obj 2 Exp 6, MixMetab BH</t>
  </si>
  <si>
    <t>D2 #8 Obj 2 Exp 6, MixMetab BH</t>
  </si>
  <si>
    <t>D2 #9 Obj 2 Exp 6, MixMetab BH</t>
  </si>
  <si>
    <t>D2 #10 Obj 2 Exp 6, MixMetab BH</t>
  </si>
  <si>
    <t>D2 #11 Obj 2 Exp 6, MixMetab BH</t>
  </si>
  <si>
    <t>D3 #12 Obj 2 Exp 6, MixMetab BH</t>
  </si>
  <si>
    <t>D2 #12 Obj 2 Exp 6, MixMetab BH</t>
  </si>
  <si>
    <t>D3 #1 Obj 2 Exp 6, MixMetab BH</t>
  </si>
  <si>
    <t>D3 #2 Obj 2 Exp 6, MixMetab BH</t>
  </si>
  <si>
    <t>D3 #3 Obj 2 Exp 6, MixMetab BH</t>
  </si>
  <si>
    <t>D3 #4 Obj 2 Exp 6, MixMetab BH</t>
  </si>
  <si>
    <t>D3 #5 Obj 2 Exp 6, MixMetab BH</t>
  </si>
  <si>
    <t>D3 #6 Obj 2 Exp 6, MixMetab BH</t>
  </si>
  <si>
    <t>D3 #7 Obj 2 Exp 6, MixMetab BH</t>
  </si>
  <si>
    <t>D3 #8 Obj 2 Exp 6, MixMetab BH</t>
  </si>
  <si>
    <t>D3 #9 Obj 2 Exp 6, MixMetab BH</t>
  </si>
  <si>
    <t>D3 #10 Obj 2 Exp 6, MixMetab BH</t>
  </si>
  <si>
    <t>D3 #11 Obj 2 Exp 6, MixMetab BH</t>
  </si>
  <si>
    <t>D4 #1 Obj 2 Exp 6, MixMetab BH</t>
  </si>
  <si>
    <t>D4 #2 Obj 2 Exp 6, MixMetab BH</t>
  </si>
  <si>
    <t>D4 #3 Obj 2 Exp 6, MixMetab BH</t>
  </si>
  <si>
    <t>D4 #4 Obj 2 Exp 6, MixMetab BH</t>
  </si>
  <si>
    <t>D4 #5 Obj 2 Exp 6, MixMetab BH</t>
  </si>
  <si>
    <t>D4 #6 Obj 2 Exp 6, MixMetab BH</t>
  </si>
  <si>
    <t>D4 #7 Obj 2 Exp 6, MixMetab BH</t>
  </si>
  <si>
    <t>D4 #8 Obj 2 Exp 6, MixMetab BH</t>
  </si>
  <si>
    <t>D4 #9 Obj 2 Exp 6, MixMetab BH</t>
  </si>
  <si>
    <t>D4 #10 Obj 2 Exp 6, MixMetab BH</t>
  </si>
  <si>
    <t>D4 #11 Obj 2 Exp 6, MixMetab BH</t>
  </si>
  <si>
    <t>D4 #12 Obj 2 Exp 6, MixMetab BH</t>
  </si>
  <si>
    <t>D5 #1 Obj 2 Exp 6, MixMetab BH</t>
  </si>
  <si>
    <t>D5 #2 Obj 2 Exp 6, MixMetab BH</t>
  </si>
  <si>
    <t>D5 #3 Obj 2 Exp 6, MixMetab BH</t>
  </si>
  <si>
    <t>D5 #4 Obj 2 Exp 6, MixMetab BH</t>
  </si>
  <si>
    <t>D5 #5 Obj 2 Exp 6, MixMetab BH</t>
  </si>
  <si>
    <t>D5 #6 Obj 2 Exp 6, MixMetab BH</t>
  </si>
  <si>
    <t>D5 #7 Obj 2 Exp 6, MixMetab BH</t>
  </si>
  <si>
    <t>D5 #8 Obj 2 Exp 6, MixMetab BH</t>
  </si>
  <si>
    <t>D5 #9 Obj 2 Exp 6, MixMetab BH</t>
  </si>
  <si>
    <t>D5 #10 Obj 2 Exp 6, MixMetab BH</t>
  </si>
  <si>
    <t>D5 #11 Obj 2 Exp 6, MixMetab BH</t>
  </si>
  <si>
    <t>D5 #12 Obj 2 Exp 6, MixMetab BH</t>
  </si>
  <si>
    <t>D6 #1 Obj 2 Exp 6, MixMetab BH</t>
  </si>
  <si>
    <t>D6 #2 Obj 2 Exp 6, MixMetab BH</t>
  </si>
  <si>
    <t>D6 #3 Obj 2 Exp 6, MixMetab BH</t>
  </si>
  <si>
    <t>D6 #4 Obj 2 Exp 6, MixMetab BH</t>
  </si>
  <si>
    <t>D6 #5 Obj 2 Exp 6, MixMetab BH</t>
  </si>
  <si>
    <t>D6 #6 Obj 2 Exp 6, MixMetab BH</t>
  </si>
  <si>
    <t>D6 #7 Obj 2 Exp 6, MixMetab BH</t>
  </si>
  <si>
    <t>D6 #8 Obj 2 Exp 6, MixMetab BH</t>
  </si>
  <si>
    <t>D6 #9 Obj 2 Exp 6, MixMetab BH</t>
  </si>
  <si>
    <t>D6 #10 Obj 2 Exp 6, MixMetab BH</t>
  </si>
  <si>
    <t>D6 #11 Obj 2 Exp 6, MixMetab BH</t>
  </si>
  <si>
    <t>D6 #12 Obj 2 Exp 6, MixMetab BH</t>
  </si>
  <si>
    <t>Objective: Observe relative changes in central metabolite pool sizes between two treatments</t>
  </si>
  <si>
    <t>Algae conc (g/L)</t>
  </si>
  <si>
    <t>Sample lost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</si>
</sst>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F400]h:mm:ss\ AM/PM"/>
    <numFmt numFmtId="165" formatCode="0.0%"/>
    <numFmt numFmtId="166" formatCode="0.000"/>
    <numFmt numFmtId="167" formatCode="0.00000"/>
  </numFmts>
  <fonts count="9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45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44">
    <xf numFmtId="0" fontId="0" fillId="0" borderId="0" xfId="0"/>
    <xf numFmtId="11" fontId="0" fillId="0" borderId="0" xfId="0" applyNumberFormat="1"/>
    <xf numFmtId="2" fontId="0" fillId="0" borderId="0" xfId="0" applyNumberFormat="1"/>
    <xf numFmtId="0" fontId="0" fillId="0" borderId="0" xfId="0"/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2" borderId="0" xfId="0" applyFill="1"/>
    <xf numFmtId="0" fontId="0" fillId="0" borderId="0" xfId="0" applyFill="1"/>
    <xf numFmtId="0" fontId="2" fillId="0" borderId="0" xfId="1"/>
    <xf numFmtId="14" fontId="2" fillId="0" borderId="0" xfId="1" applyNumberFormat="1"/>
    <xf numFmtId="2" fontId="2" fillId="0" borderId="0" xfId="1" applyNumberFormat="1"/>
    <xf numFmtId="164" fontId="2" fillId="0" borderId="0" xfId="1" applyNumberFormat="1"/>
    <xf numFmtId="14" fontId="2" fillId="2" borderId="0" xfId="1" applyNumberFormat="1" applyFill="1"/>
    <xf numFmtId="20" fontId="2" fillId="2" borderId="0" xfId="1" applyNumberFormat="1" applyFill="1"/>
    <xf numFmtId="0" fontId="2" fillId="2" borderId="0" xfId="1" applyFill="1"/>
    <xf numFmtId="0" fontId="0" fillId="3" borderId="0" xfId="0" applyFill="1"/>
    <xf numFmtId="0" fontId="0" fillId="4" borderId="0" xfId="0" applyFill="1"/>
    <xf numFmtId="20" fontId="0" fillId="0" borderId="0" xfId="0" applyNumberFormat="1"/>
    <xf numFmtId="0" fontId="2" fillId="0" borderId="0" xfId="1" applyFill="1"/>
    <xf numFmtId="14" fontId="0" fillId="2" borderId="0" xfId="0" applyNumberFormat="1" applyFill="1"/>
    <xf numFmtId="0" fontId="0" fillId="5" borderId="0" xfId="0" applyFill="1"/>
    <xf numFmtId="20" fontId="2" fillId="0" borderId="0" xfId="1" applyNumberFormat="1"/>
    <xf numFmtId="0" fontId="0" fillId="0" borderId="0" xfId="0" applyAlignment="1">
      <alignment horizontal="center"/>
    </xf>
    <xf numFmtId="10" fontId="2" fillId="0" borderId="0" xfId="1" applyNumberFormat="1"/>
    <xf numFmtId="10" fontId="2" fillId="0" borderId="0" xfId="5" applyNumberFormat="1" applyFont="1"/>
    <xf numFmtId="9" fontId="2" fillId="0" borderId="0" xfId="1" applyNumberFormat="1"/>
    <xf numFmtId="9" fontId="2" fillId="0" borderId="0" xfId="5" applyFont="1"/>
    <xf numFmtId="1" fontId="2" fillId="0" borderId="0" xfId="1" applyNumberFormat="1"/>
    <xf numFmtId="20" fontId="0" fillId="2" borderId="0" xfId="0" applyNumberFormat="1" applyFill="1"/>
    <xf numFmtId="165" fontId="2" fillId="0" borderId="0" xfId="5" applyNumberFormat="1" applyFont="1"/>
    <xf numFmtId="18" fontId="0" fillId="0" borderId="0" xfId="0" applyNumberFormat="1"/>
    <xf numFmtId="166" fontId="0" fillId="0" borderId="0" xfId="0" applyNumberFormat="1"/>
    <xf numFmtId="2" fontId="0" fillId="2" borderId="0" xfId="0" applyNumberFormat="1" applyFill="1"/>
    <xf numFmtId="11" fontId="2" fillId="0" borderId="0" xfId="1" applyNumberFormat="1"/>
    <xf numFmtId="0" fontId="0" fillId="0" borderId="0" xfId="0" applyAlignment="1">
      <alignment horizontal="center" wrapText="1"/>
    </xf>
    <xf numFmtId="14" fontId="0" fillId="0" borderId="0" xfId="0" applyNumberFormat="1" applyFill="1"/>
    <xf numFmtId="14" fontId="0" fillId="0" borderId="0" xfId="0" applyNumberFormat="1" applyFill="1" applyAlignment="1">
      <alignment horizontal="center" wrapText="1"/>
    </xf>
    <xf numFmtId="0" fontId="8" fillId="0" borderId="0" xfId="31"/>
    <xf numFmtId="14" fontId="8" fillId="0" borderId="0" xfId="31" applyNumberFormat="1"/>
    <xf numFmtId="18" fontId="8" fillId="0" borderId="0" xfId="31" applyNumberFormat="1"/>
    <xf numFmtId="0" fontId="0" fillId="0" borderId="0" xfId="0" applyBorder="1"/>
    <xf numFmtId="0" fontId="0" fillId="0" borderId="0" xfId="0" applyBorder="1" applyAlignment="1">
      <alignment horizontal="center"/>
    </xf>
    <xf numFmtId="167" fontId="2" fillId="0" borderId="0" xfId="1" applyNumberFormat="1" applyFill="1"/>
  </cellXfs>
  <cellStyles count="45"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Normal" xfId="0" builtinId="0"/>
    <cellStyle name="Normal 2" xfId="1"/>
    <cellStyle name="Normal 2 2" xfId="3"/>
    <cellStyle name="Normal 3" xfId="6"/>
    <cellStyle name="Normal 4" xfId="8"/>
    <cellStyle name="Normal 5" xfId="20"/>
    <cellStyle name="Normal 6" xfId="31"/>
    <cellStyle name="Percent" xfId="5" builtinId="5"/>
    <cellStyle name="Percent 2" xfId="2"/>
    <cellStyle name="Percent 2 2" xfId="4"/>
    <cellStyle name="Percent 3" xfId="7"/>
    <cellStyle name="Percent 4" xfId="9"/>
    <cellStyle name="Percent 5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'Summary OD'!$D$4</c:f>
              <c:strCache>
                <c:ptCount val="1"/>
                <c:pt idx="0">
                  <c:v>Culture 1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OD'!$D$5:$D$10</c:f>
              <c:numCache>
                <c:formatCode>General</c:formatCode>
                <c:ptCount val="6"/>
                <c:pt idx="0">
                  <c:v>0.14796666666666666</c:v>
                </c:pt>
                <c:pt idx="1">
                  <c:v>0.23773333333333335</c:v>
                </c:pt>
                <c:pt idx="2">
                  <c:v>0.29060000000000002</c:v>
                </c:pt>
                <c:pt idx="3">
                  <c:v>0.3177666666666667</c:v>
                </c:pt>
                <c:pt idx="4">
                  <c:v>0.34693333333333332</c:v>
                </c:pt>
                <c:pt idx="5">
                  <c:v>0.31656666666666666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'Summary OD'!$E$4</c:f>
              <c:strCache>
                <c:ptCount val="1"/>
                <c:pt idx="0">
                  <c:v>Culture 2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OD'!$E$5:$E$10</c:f>
              <c:numCache>
                <c:formatCode>General</c:formatCode>
                <c:ptCount val="6"/>
                <c:pt idx="0">
                  <c:v>0.13003333333333333</c:v>
                </c:pt>
                <c:pt idx="1">
                  <c:v>0.24133333333333332</c:v>
                </c:pt>
                <c:pt idx="2">
                  <c:v>0.28673333333333334</c:v>
                </c:pt>
                <c:pt idx="3">
                  <c:v>0.33083333333333337</c:v>
                </c:pt>
                <c:pt idx="4">
                  <c:v>0.34393333333333337</c:v>
                </c:pt>
                <c:pt idx="5">
                  <c:v>0.33166666666666667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'Summary OD'!$F$4</c:f>
              <c:strCache>
                <c:ptCount val="1"/>
                <c:pt idx="0">
                  <c:v>Culture 3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OD'!$F$5:$F$10</c:f>
              <c:numCache>
                <c:formatCode>General</c:formatCode>
                <c:ptCount val="6"/>
                <c:pt idx="0">
                  <c:v>0.12793333333333334</c:v>
                </c:pt>
                <c:pt idx="1">
                  <c:v>0.24186666666666667</c:v>
                </c:pt>
                <c:pt idx="2">
                  <c:v>0.29816666666666669</c:v>
                </c:pt>
                <c:pt idx="3">
                  <c:v>0.31156666666666671</c:v>
                </c:pt>
                <c:pt idx="4">
                  <c:v>0.32823333333333332</c:v>
                </c:pt>
                <c:pt idx="5">
                  <c:v>0.31003333333333333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'Summary OD'!$G$4</c:f>
              <c:strCache>
                <c:ptCount val="1"/>
                <c:pt idx="0">
                  <c:v>Culture 4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OD'!$G$5:$G$10</c:f>
              <c:numCache>
                <c:formatCode>General</c:formatCode>
                <c:ptCount val="6"/>
                <c:pt idx="0">
                  <c:v>0.13089999999999999</c:v>
                </c:pt>
                <c:pt idx="1">
                  <c:v>0.22946666666666668</c:v>
                </c:pt>
                <c:pt idx="2">
                  <c:v>0.31040000000000001</c:v>
                </c:pt>
                <c:pt idx="3">
                  <c:v>0.32036666666666663</c:v>
                </c:pt>
                <c:pt idx="4">
                  <c:v>0.32143333333333329</c:v>
                </c:pt>
                <c:pt idx="5">
                  <c:v>0.31080000000000002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'Summary OD'!$H$4</c:f>
              <c:strCache>
                <c:ptCount val="1"/>
                <c:pt idx="0">
                  <c:v>Culture 5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OD'!$H$5:$H$10</c:f>
              <c:numCache>
                <c:formatCode>General</c:formatCode>
                <c:ptCount val="6"/>
                <c:pt idx="0">
                  <c:v>0.12156666666666667</c:v>
                </c:pt>
                <c:pt idx="1">
                  <c:v>0.23740000000000003</c:v>
                </c:pt>
                <c:pt idx="2">
                  <c:v>0.33239999999999997</c:v>
                </c:pt>
                <c:pt idx="3">
                  <c:v>0.30796666666666667</c:v>
                </c:pt>
                <c:pt idx="4">
                  <c:v>0.30619999999999997</c:v>
                </c:pt>
                <c:pt idx="5">
                  <c:v>0.29370000000000002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'Summary OD'!$I$4</c:f>
              <c:strCache>
                <c:ptCount val="1"/>
                <c:pt idx="0">
                  <c:v>Culture 6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OD'!$I$5:$I$10</c:f>
              <c:numCache>
                <c:formatCode>General</c:formatCode>
                <c:ptCount val="6"/>
                <c:pt idx="0">
                  <c:v>0.12960000000000002</c:v>
                </c:pt>
                <c:pt idx="1">
                  <c:v>0.23913333333333334</c:v>
                </c:pt>
                <c:pt idx="2">
                  <c:v>0.29259999999999997</c:v>
                </c:pt>
                <c:pt idx="3">
                  <c:v>0.31406666666666666</c:v>
                </c:pt>
                <c:pt idx="4">
                  <c:v>0.29536666666666661</c:v>
                </c:pt>
                <c:pt idx="5">
                  <c:v>0.28936666666666666</c:v>
                </c:pt>
              </c:numCache>
            </c:numRef>
          </c:yVal>
          <c:smooth val="0"/>
        </c:ser>
        <c:ser>
          <c:idx val="11"/>
          <c:order val="6"/>
          <c:tx>
            <c:strRef>
              <c:f>'Summary OD'!$J$4</c:f>
              <c:strCache>
                <c:ptCount val="1"/>
                <c:pt idx="0">
                  <c:v>Culture 7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OD'!$J$5:$J$10</c:f>
              <c:numCache>
                <c:formatCode>General</c:formatCode>
                <c:ptCount val="6"/>
                <c:pt idx="0">
                  <c:v>0.12456666666666667</c:v>
                </c:pt>
                <c:pt idx="1">
                  <c:v>0.13126666666666667</c:v>
                </c:pt>
                <c:pt idx="2">
                  <c:v>0.14133333333333334</c:v>
                </c:pt>
                <c:pt idx="3">
                  <c:v>0.14599999999999999</c:v>
                </c:pt>
                <c:pt idx="4">
                  <c:v>0.15026666666666666</c:v>
                </c:pt>
                <c:pt idx="5">
                  <c:v>0.15763333333333332</c:v>
                </c:pt>
              </c:numCache>
            </c:numRef>
          </c:yVal>
          <c:smooth val="0"/>
        </c:ser>
        <c:ser>
          <c:idx val="6"/>
          <c:order val="7"/>
          <c:tx>
            <c:strRef>
              <c:f>'Summary OD'!$K$4</c:f>
              <c:strCache>
                <c:ptCount val="1"/>
                <c:pt idx="0">
                  <c:v>Culture 8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OD'!$K$5:$K$10</c:f>
              <c:numCache>
                <c:formatCode>General</c:formatCode>
                <c:ptCount val="6"/>
                <c:pt idx="0">
                  <c:v>0.12926666666666667</c:v>
                </c:pt>
                <c:pt idx="1">
                  <c:v>0.13390000000000002</c:v>
                </c:pt>
                <c:pt idx="2">
                  <c:v>0.14413333333333334</c:v>
                </c:pt>
                <c:pt idx="3">
                  <c:v>0.14573333333333335</c:v>
                </c:pt>
                <c:pt idx="4">
                  <c:v>0.15733333333333335</c:v>
                </c:pt>
                <c:pt idx="5">
                  <c:v>0.15919999999999998</c:v>
                </c:pt>
              </c:numCache>
            </c:numRef>
          </c:yVal>
          <c:smooth val="0"/>
        </c:ser>
        <c:ser>
          <c:idx val="7"/>
          <c:order val="8"/>
          <c:tx>
            <c:strRef>
              <c:f>'Summary OD'!$L$4</c:f>
              <c:strCache>
                <c:ptCount val="1"/>
                <c:pt idx="0">
                  <c:v>Culture 9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OD'!$L$5:$L$10</c:f>
              <c:numCache>
                <c:formatCode>General</c:formatCode>
                <c:ptCount val="6"/>
                <c:pt idx="0">
                  <c:v>0.12913333333333332</c:v>
                </c:pt>
                <c:pt idx="1">
                  <c:v>0.13469999999999999</c:v>
                </c:pt>
                <c:pt idx="2">
                  <c:v>0.13336666666666666</c:v>
                </c:pt>
                <c:pt idx="3">
                  <c:v>0.13986666666666667</c:v>
                </c:pt>
                <c:pt idx="4">
                  <c:v>0.14973333333333336</c:v>
                </c:pt>
                <c:pt idx="5">
                  <c:v>0.16066666666666668</c:v>
                </c:pt>
              </c:numCache>
            </c:numRef>
          </c:yVal>
          <c:smooth val="0"/>
        </c:ser>
        <c:ser>
          <c:idx val="8"/>
          <c:order val="9"/>
          <c:tx>
            <c:strRef>
              <c:f>'Summary OD'!$M$4</c:f>
              <c:strCache>
                <c:ptCount val="1"/>
                <c:pt idx="0">
                  <c:v>Culture 10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OD'!$M$5:$M$10</c:f>
              <c:numCache>
                <c:formatCode>General</c:formatCode>
                <c:ptCount val="6"/>
                <c:pt idx="0">
                  <c:v>0.12996666666666667</c:v>
                </c:pt>
                <c:pt idx="1">
                  <c:v>0.13246666666666665</c:v>
                </c:pt>
                <c:pt idx="2">
                  <c:v>0.13606666666666667</c:v>
                </c:pt>
                <c:pt idx="3">
                  <c:v>0.14506666666666668</c:v>
                </c:pt>
                <c:pt idx="4">
                  <c:v>0.14993333333333336</c:v>
                </c:pt>
                <c:pt idx="5">
                  <c:v>0.15483333333333335</c:v>
                </c:pt>
              </c:numCache>
            </c:numRef>
          </c:yVal>
          <c:smooth val="0"/>
        </c:ser>
        <c:ser>
          <c:idx val="9"/>
          <c:order val="10"/>
          <c:tx>
            <c:strRef>
              <c:f>'Summary OD'!$N$4</c:f>
              <c:strCache>
                <c:ptCount val="1"/>
                <c:pt idx="0">
                  <c:v>Culture 11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OD'!$N$5:$N$10</c:f>
              <c:numCache>
                <c:formatCode>General</c:formatCode>
                <c:ptCount val="6"/>
                <c:pt idx="0">
                  <c:v>0.13436666666666666</c:v>
                </c:pt>
                <c:pt idx="1">
                  <c:v>0.13376666666666667</c:v>
                </c:pt>
                <c:pt idx="2">
                  <c:v>0.13916666666666666</c:v>
                </c:pt>
                <c:pt idx="3">
                  <c:v>0.14456666666666665</c:v>
                </c:pt>
                <c:pt idx="4">
                  <c:v>0.14849999999999999</c:v>
                </c:pt>
                <c:pt idx="5">
                  <c:v>0.15826666666666667</c:v>
                </c:pt>
              </c:numCache>
            </c:numRef>
          </c:yVal>
          <c:smooth val="0"/>
        </c:ser>
        <c:ser>
          <c:idx val="10"/>
          <c:order val="11"/>
          <c:tx>
            <c:strRef>
              <c:f>'Summary OD'!$O$4</c:f>
              <c:strCache>
                <c:ptCount val="1"/>
                <c:pt idx="0">
                  <c:v>Culture 12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OD'!$C$5:$C$10</c:f>
              <c:numCache>
                <c:formatCode>0.00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OD'!$O$5:$O$10</c:f>
              <c:numCache>
                <c:formatCode>General</c:formatCode>
                <c:ptCount val="6"/>
                <c:pt idx="0">
                  <c:v>0.12739999999999999</c:v>
                </c:pt>
                <c:pt idx="1">
                  <c:v>0.13070000000000001</c:v>
                </c:pt>
                <c:pt idx="2">
                  <c:v>0.13496666666666665</c:v>
                </c:pt>
                <c:pt idx="3">
                  <c:v>0.1447</c:v>
                </c:pt>
                <c:pt idx="4">
                  <c:v>0.15140000000000001</c:v>
                </c:pt>
                <c:pt idx="5">
                  <c:v>0.15620000000000001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851712"/>
        <c:axId val="80853248"/>
      </c:scatterChart>
      <c:valAx>
        <c:axId val="808517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crossAx val="80853248"/>
        <c:crosses val="autoZero"/>
        <c:crossBetween val="midCat"/>
      </c:valAx>
      <c:valAx>
        <c:axId val="808532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085171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3688190292003"/>
          <c:y val="3.1842018854724298E-2"/>
          <c:w val="0.66375009044921995"/>
          <c:h val="0.83549381754194796"/>
        </c:manualLayout>
      </c:layout>
      <c:scatterChart>
        <c:scatterStyle val="lineMarker"/>
        <c:varyColors val="0"/>
        <c:ser>
          <c:idx val="0"/>
          <c:order val="0"/>
          <c:tx>
            <c:strRef>
              <c:f>'Summary OD'!$D$13</c:f>
              <c:strCache>
                <c:ptCount val="1"/>
                <c:pt idx="0">
                  <c:v>10 g/L Glc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'Summary OD'!$L$14:$L$19</c:f>
                <c:numCache>
                  <c:formatCode>General</c:formatCode>
                  <c:ptCount val="6"/>
                  <c:pt idx="0">
                    <c:v>5.089189704840234E-3</c:v>
                  </c:pt>
                  <c:pt idx="1">
                    <c:v>2.5872240712898659E-3</c:v>
                  </c:pt>
                  <c:pt idx="2">
                    <c:v>9.867805865165391E-3</c:v>
                  </c:pt>
                  <c:pt idx="3">
                    <c:v>4.640089664948885E-3</c:v>
                  </c:pt>
                  <c:pt idx="4">
                    <c:v>1.17866889768517E-2</c:v>
                  </c:pt>
                  <c:pt idx="5">
                    <c:v>8.9230676228788681E-3</c:v>
                  </c:pt>
                </c:numCache>
              </c:numRef>
            </c:plus>
            <c:minus>
              <c:numRef>
                <c:f>'Summary OD'!$L$14:$L$19</c:f>
                <c:numCache>
                  <c:formatCode>General</c:formatCode>
                  <c:ptCount val="6"/>
                  <c:pt idx="0">
                    <c:v>5.089189704840234E-3</c:v>
                  </c:pt>
                  <c:pt idx="1">
                    <c:v>2.5872240712898659E-3</c:v>
                  </c:pt>
                  <c:pt idx="2">
                    <c:v>9.867805865165391E-3</c:v>
                  </c:pt>
                  <c:pt idx="3">
                    <c:v>4.640089664948885E-3</c:v>
                  </c:pt>
                  <c:pt idx="4">
                    <c:v>1.17866889768517E-2</c:v>
                  </c:pt>
                  <c:pt idx="5">
                    <c:v>8.9230676228788681E-3</c:v>
                  </c:pt>
                </c:numCache>
              </c:numRef>
            </c:minus>
          </c:errBars>
          <c:xVal>
            <c:numRef>
              <c:f>'Summary OD'!$C$14:$C$19</c:f>
              <c:numCache>
                <c:formatCode>General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OD'!$D$14:$D$19</c:f>
              <c:numCache>
                <c:formatCode>General</c:formatCode>
                <c:ptCount val="6"/>
                <c:pt idx="0">
                  <c:v>0.13133333333333336</c:v>
                </c:pt>
                <c:pt idx="1">
                  <c:v>0.23782222222222224</c:v>
                </c:pt>
                <c:pt idx="2">
                  <c:v>0.30181666666666668</c:v>
                </c:pt>
                <c:pt idx="3">
                  <c:v>0.31709444444444451</c:v>
                </c:pt>
                <c:pt idx="4">
                  <c:v>0.32368333333333332</c:v>
                </c:pt>
                <c:pt idx="5">
                  <c:v>0.30868888888888885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'Summary OD'!$E$13</c:f>
              <c:strCache>
                <c:ptCount val="1"/>
                <c:pt idx="0">
                  <c:v>0 g/L Glc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'Summary OD'!$M$14:$M$19</c:f>
                <c:numCache>
                  <c:formatCode>General</c:formatCode>
                  <c:ptCount val="6"/>
                  <c:pt idx="0">
                    <c:v>1.8611326698585494E-3</c:v>
                  </c:pt>
                  <c:pt idx="1">
                    <c:v>9.1748448367139979E-4</c:v>
                  </c:pt>
                  <c:pt idx="2">
                    <c:v>2.3709168930142323E-3</c:v>
                  </c:pt>
                  <c:pt idx="3">
                    <c:v>1.3016608573873315E-3</c:v>
                  </c:pt>
                  <c:pt idx="4">
                    <c:v>1.8179523143591969E-3</c:v>
                  </c:pt>
                  <c:pt idx="5">
                    <c:v>1.205112565819596E-3</c:v>
                  </c:pt>
                </c:numCache>
              </c:numRef>
            </c:plus>
            <c:minus>
              <c:numRef>
                <c:f>'Summary OD'!$M$14:$M$19</c:f>
                <c:numCache>
                  <c:formatCode>General</c:formatCode>
                  <c:ptCount val="6"/>
                  <c:pt idx="0">
                    <c:v>1.8611326698585494E-3</c:v>
                  </c:pt>
                  <c:pt idx="1">
                    <c:v>9.1748448367139979E-4</c:v>
                  </c:pt>
                  <c:pt idx="2">
                    <c:v>2.3709168930142323E-3</c:v>
                  </c:pt>
                  <c:pt idx="3">
                    <c:v>1.3016608573873315E-3</c:v>
                  </c:pt>
                  <c:pt idx="4">
                    <c:v>1.8179523143591969E-3</c:v>
                  </c:pt>
                  <c:pt idx="5">
                    <c:v>1.205112565819596E-3</c:v>
                  </c:pt>
                </c:numCache>
              </c:numRef>
            </c:minus>
          </c:errBars>
          <c:xVal>
            <c:numRef>
              <c:f>'Summary OD'!$C$14:$C$19</c:f>
              <c:numCache>
                <c:formatCode>General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OD'!$E$14:$E$19</c:f>
              <c:numCache>
                <c:formatCode>General</c:formatCode>
                <c:ptCount val="6"/>
                <c:pt idx="0">
                  <c:v>0.12911666666666666</c:v>
                </c:pt>
                <c:pt idx="1">
                  <c:v>0.1328</c:v>
                </c:pt>
                <c:pt idx="2">
                  <c:v>0.13817222222222222</c:v>
                </c:pt>
                <c:pt idx="3">
                  <c:v>0.14432222222222221</c:v>
                </c:pt>
                <c:pt idx="4">
                  <c:v>0.15119444444444444</c:v>
                </c:pt>
                <c:pt idx="5">
                  <c:v>0.1578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'Summary OD'!$F$13</c:f>
              <c:strCache>
                <c:ptCount val="1"/>
                <c:pt idx="0">
                  <c:v>Pantothenic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'Summary OD'!$N$14:$N$19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'Summary OD'!$N$14:$N$19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</c:errBars>
          <c:xVal>
            <c:numRef>
              <c:f>'Summary OD'!$C$14:$C$19</c:f>
              <c:numCache>
                <c:formatCode>General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OD'!$F$14:$F$19</c:f>
              <c:numCache>
                <c:formatCode>General</c:formatCode>
                <c:ptCount val="6"/>
              </c:numCache>
            </c:numRef>
          </c:yVal>
          <c:smooth val="0"/>
        </c:ser>
        <c:ser>
          <c:idx val="3"/>
          <c:order val="3"/>
          <c:tx>
            <c:strRef>
              <c:f>'Summary OD'!$G$13</c:f>
              <c:strCache>
                <c:ptCount val="1"/>
                <c:pt idx="0">
                  <c:v>Thiamine and Pantothenic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'Summary OD'!$O$14:$O$19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'Summary OD'!$O$14:$O$19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</c:errBars>
          <c:xVal>
            <c:numRef>
              <c:f>'Summary OD'!$C$14:$C$19</c:f>
              <c:numCache>
                <c:formatCode>General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OD'!$G$14:$G$19</c:f>
              <c:numCache>
                <c:formatCode>General</c:formatCode>
                <c:ptCount val="6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116608"/>
        <c:axId val="64118784"/>
      </c:scatterChart>
      <c:valAx>
        <c:axId val="641166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Hours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64118784"/>
        <c:crosses val="autoZero"/>
        <c:crossBetween val="midCat"/>
      </c:valAx>
      <c:valAx>
        <c:axId val="641187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OD 550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641166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6661321940020699"/>
          <c:y val="0.39627643358187797"/>
          <c:w val="0.199969905077655"/>
          <c:h val="0.2648071191421110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'Summary OD'!$B$53</c:f>
              <c:strCache>
                <c:ptCount val="1"/>
                <c:pt idx="0">
                  <c:v>Culture 1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OD'!$B$54:$B$61</c:f>
              <c:numCache>
                <c:formatCode>General</c:formatCode>
                <c:ptCount val="8"/>
                <c:pt idx="0">
                  <c:v>0.318</c:v>
                </c:pt>
                <c:pt idx="1">
                  <c:v>0.31719999999999998</c:v>
                </c:pt>
                <c:pt idx="2">
                  <c:v>0.3145</c:v>
                </c:pt>
                <c:pt idx="3">
                  <c:v>0.13020000000000001</c:v>
                </c:pt>
                <c:pt idx="4">
                  <c:v>7.7499999999999999E-2</c:v>
                </c:pt>
                <c:pt idx="5">
                  <c:v>5.28E-2</c:v>
                </c:pt>
                <c:pt idx="6">
                  <c:v>4.2599999999999999E-2</c:v>
                </c:pt>
                <c:pt idx="7">
                  <c:v>3.8100000000000002E-2</c:v>
                </c:pt>
              </c:numCache>
            </c:numRef>
          </c:xVal>
          <c:yVal>
            <c:numRef>
              <c:f>'Summary OD'!$O$54:$O$61</c:f>
              <c:numCache>
                <c:formatCode>General</c:formatCode>
                <c:ptCount val="8"/>
                <c:pt idx="0">
                  <c:v>0.4328125000000016</c:v>
                </c:pt>
                <c:pt idx="1">
                  <c:v>0.4328125000000016</c:v>
                </c:pt>
                <c:pt idx="2">
                  <c:v>0.4328125000000016</c:v>
                </c:pt>
                <c:pt idx="3">
                  <c:v>0.2164062500000008</c:v>
                </c:pt>
                <c:pt idx="4">
                  <c:v>0.1082031250000004</c:v>
                </c:pt>
                <c:pt idx="5">
                  <c:v>5.41015625000002E-2</c:v>
                </c:pt>
                <c:pt idx="6">
                  <c:v>2.70507812500001E-2</c:v>
                </c:pt>
                <c:pt idx="7">
                  <c:v>1.352539062500005E-2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'Summary OD'!$C$53</c:f>
              <c:strCache>
                <c:ptCount val="1"/>
                <c:pt idx="0">
                  <c:v>Culture 2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OD'!$C$54:$C$61</c:f>
              <c:numCache>
                <c:formatCode>General</c:formatCode>
                <c:ptCount val="8"/>
                <c:pt idx="0">
                  <c:v>0.3301</c:v>
                </c:pt>
                <c:pt idx="1">
                  <c:v>0.33</c:v>
                </c:pt>
                <c:pt idx="2">
                  <c:v>0.33489999999999998</c:v>
                </c:pt>
                <c:pt idx="3">
                  <c:v>0.14380000000000001</c:v>
                </c:pt>
                <c:pt idx="4">
                  <c:v>8.0799999999999997E-2</c:v>
                </c:pt>
                <c:pt idx="5">
                  <c:v>5.3999999999999999E-2</c:v>
                </c:pt>
                <c:pt idx="6">
                  <c:v>4.1399999999999999E-2</c:v>
                </c:pt>
                <c:pt idx="7">
                  <c:v>3.8600000000000002E-2</c:v>
                </c:pt>
              </c:numCache>
            </c:numRef>
          </c:xVal>
          <c:yVal>
            <c:numRef>
              <c:f>'Summary OD'!$P$54:$P$61</c:f>
              <c:numCache>
                <c:formatCode>General</c:formatCode>
                <c:ptCount val="8"/>
                <c:pt idx="0">
                  <c:v>0.42812500000000142</c:v>
                </c:pt>
                <c:pt idx="1">
                  <c:v>0.42812500000000142</c:v>
                </c:pt>
                <c:pt idx="2">
                  <c:v>0.42812500000000142</c:v>
                </c:pt>
                <c:pt idx="3">
                  <c:v>0.21406250000000071</c:v>
                </c:pt>
                <c:pt idx="4">
                  <c:v>0.10703125000000036</c:v>
                </c:pt>
                <c:pt idx="5">
                  <c:v>5.3515625000000178E-2</c:v>
                </c:pt>
                <c:pt idx="6">
                  <c:v>2.6757812500000089E-2</c:v>
                </c:pt>
                <c:pt idx="7">
                  <c:v>1.3378906250000044E-2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'Summary OD'!$D$53</c:f>
              <c:strCache>
                <c:ptCount val="1"/>
                <c:pt idx="0">
                  <c:v>Culture 3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OD'!$D$54:$D$61</c:f>
              <c:numCache>
                <c:formatCode>General</c:formatCode>
                <c:ptCount val="8"/>
                <c:pt idx="0">
                  <c:v>0.31119999999999998</c:v>
                </c:pt>
                <c:pt idx="1">
                  <c:v>0.30909999999999999</c:v>
                </c:pt>
                <c:pt idx="2">
                  <c:v>0.30980000000000002</c:v>
                </c:pt>
                <c:pt idx="3">
                  <c:v>0.14069999999999999</c:v>
                </c:pt>
                <c:pt idx="4">
                  <c:v>7.7799999999999994E-2</c:v>
                </c:pt>
                <c:pt idx="5">
                  <c:v>5.2499999999999998E-2</c:v>
                </c:pt>
                <c:pt idx="6">
                  <c:v>4.1300000000000003E-2</c:v>
                </c:pt>
                <c:pt idx="7">
                  <c:v>3.7999999999999999E-2</c:v>
                </c:pt>
              </c:numCache>
            </c:numRef>
          </c:xVal>
          <c:yVal>
            <c:numRef>
              <c:f>'Summary OD'!$Q$54:$Q$61</c:f>
              <c:numCache>
                <c:formatCode>General</c:formatCode>
                <c:ptCount val="8"/>
                <c:pt idx="0">
                  <c:v>0.39812499999999917</c:v>
                </c:pt>
                <c:pt idx="1">
                  <c:v>0.39812499999999917</c:v>
                </c:pt>
                <c:pt idx="2">
                  <c:v>0.39812499999999917</c:v>
                </c:pt>
                <c:pt idx="3">
                  <c:v>0.19906249999999959</c:v>
                </c:pt>
                <c:pt idx="4">
                  <c:v>9.9531249999999793E-2</c:v>
                </c:pt>
                <c:pt idx="5">
                  <c:v>4.9765624999999897E-2</c:v>
                </c:pt>
                <c:pt idx="6">
                  <c:v>2.4882812499999948E-2</c:v>
                </c:pt>
                <c:pt idx="7">
                  <c:v>1.2441406249999974E-2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'Summary OD'!$E$53</c:f>
              <c:strCache>
                <c:ptCount val="1"/>
                <c:pt idx="0">
                  <c:v>Culture 4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OD'!$E$54:$E$61</c:f>
              <c:numCache>
                <c:formatCode>General</c:formatCode>
                <c:ptCount val="8"/>
                <c:pt idx="0">
                  <c:v>0.31090000000000001</c:v>
                </c:pt>
                <c:pt idx="1">
                  <c:v>0.31009999999999999</c:v>
                </c:pt>
                <c:pt idx="2">
                  <c:v>0.31140000000000001</c:v>
                </c:pt>
                <c:pt idx="3">
                  <c:v>0.13250000000000001</c:v>
                </c:pt>
                <c:pt idx="4">
                  <c:v>7.6399999999999996E-2</c:v>
                </c:pt>
                <c:pt idx="5">
                  <c:v>5.3100000000000001E-2</c:v>
                </c:pt>
                <c:pt idx="6">
                  <c:v>4.07E-2</c:v>
                </c:pt>
                <c:pt idx="7">
                  <c:v>3.9E-2</c:v>
                </c:pt>
              </c:numCache>
            </c:numRef>
          </c:xVal>
          <c:yVal>
            <c:numRef>
              <c:f>'Summary OD'!$R$54:$R$61</c:f>
              <c:numCache>
                <c:formatCode>General</c:formatCode>
                <c:ptCount val="8"/>
                <c:pt idx="0">
                  <c:v>0.39406249999999754</c:v>
                </c:pt>
                <c:pt idx="1">
                  <c:v>0.39406249999999754</c:v>
                </c:pt>
                <c:pt idx="2">
                  <c:v>0.39406249999999754</c:v>
                </c:pt>
                <c:pt idx="3">
                  <c:v>0.19703124999999877</c:v>
                </c:pt>
                <c:pt idx="4">
                  <c:v>9.8515624999999385E-2</c:v>
                </c:pt>
                <c:pt idx="5">
                  <c:v>4.9257812499999692E-2</c:v>
                </c:pt>
                <c:pt idx="6">
                  <c:v>2.4628906249999846E-2</c:v>
                </c:pt>
                <c:pt idx="7">
                  <c:v>1.2314453124999923E-2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'Summary OD'!$F$53</c:f>
              <c:strCache>
                <c:ptCount val="1"/>
                <c:pt idx="0">
                  <c:v>Culture 5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OD'!$F$54:$F$61</c:f>
              <c:numCache>
                <c:formatCode>General</c:formatCode>
                <c:ptCount val="8"/>
                <c:pt idx="0">
                  <c:v>0.29809999999999998</c:v>
                </c:pt>
                <c:pt idx="1">
                  <c:v>0.29630000000000001</c:v>
                </c:pt>
                <c:pt idx="2">
                  <c:v>0.28670000000000001</c:v>
                </c:pt>
                <c:pt idx="3">
                  <c:v>0.13070000000000001</c:v>
                </c:pt>
                <c:pt idx="4">
                  <c:v>7.6200000000000004E-2</c:v>
                </c:pt>
                <c:pt idx="5">
                  <c:v>5.2900000000000003E-2</c:v>
                </c:pt>
                <c:pt idx="6">
                  <c:v>4.1099999999999998E-2</c:v>
                </c:pt>
                <c:pt idx="7">
                  <c:v>3.7900000000000003E-2</c:v>
                </c:pt>
              </c:numCache>
            </c:numRef>
          </c:xVal>
          <c:yVal>
            <c:numRef>
              <c:f>'Summary OD'!$S$54:$S$61</c:f>
              <c:numCache>
                <c:formatCode>General</c:formatCode>
                <c:ptCount val="8"/>
                <c:pt idx="0">
                  <c:v>0.39124999999999854</c:v>
                </c:pt>
                <c:pt idx="1">
                  <c:v>0.39124999999999854</c:v>
                </c:pt>
                <c:pt idx="2">
                  <c:v>0.39124999999999854</c:v>
                </c:pt>
                <c:pt idx="3">
                  <c:v>0.19562499999999927</c:v>
                </c:pt>
                <c:pt idx="4">
                  <c:v>9.7812499999999636E-2</c:v>
                </c:pt>
                <c:pt idx="5">
                  <c:v>4.8906249999999818E-2</c:v>
                </c:pt>
                <c:pt idx="6">
                  <c:v>2.4453124999999909E-2</c:v>
                </c:pt>
                <c:pt idx="7">
                  <c:v>1.2226562499999954E-2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'Summary OD'!$G$53</c:f>
              <c:strCache>
                <c:ptCount val="1"/>
                <c:pt idx="0">
                  <c:v>Culture 6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OD'!$G$54:$G$61</c:f>
              <c:numCache>
                <c:formatCode>General</c:formatCode>
                <c:ptCount val="8"/>
                <c:pt idx="0">
                  <c:v>0.31109999999999999</c:v>
                </c:pt>
                <c:pt idx="1">
                  <c:v>0.28070000000000001</c:v>
                </c:pt>
                <c:pt idx="2">
                  <c:v>0.27629999999999999</c:v>
                </c:pt>
                <c:pt idx="3">
                  <c:v>0.1232</c:v>
                </c:pt>
                <c:pt idx="4">
                  <c:v>7.2599999999999998E-2</c:v>
                </c:pt>
                <c:pt idx="5">
                  <c:v>4.9799999999999997E-2</c:v>
                </c:pt>
                <c:pt idx="6">
                  <c:v>4.0899999999999999E-2</c:v>
                </c:pt>
                <c:pt idx="7">
                  <c:v>3.7900000000000003E-2</c:v>
                </c:pt>
              </c:numCache>
            </c:numRef>
          </c:xVal>
          <c:yVal>
            <c:numRef>
              <c:f>'Summary OD'!$T$54:$T$61</c:f>
              <c:numCache>
                <c:formatCode>General</c:formatCode>
                <c:ptCount val="8"/>
                <c:pt idx="0">
                  <c:v>0.38812500000000028</c:v>
                </c:pt>
                <c:pt idx="1">
                  <c:v>0.38812500000000028</c:v>
                </c:pt>
                <c:pt idx="2">
                  <c:v>0.38812500000000028</c:v>
                </c:pt>
                <c:pt idx="3">
                  <c:v>0.19406250000000014</c:v>
                </c:pt>
                <c:pt idx="4">
                  <c:v>9.7031250000000069E-2</c:v>
                </c:pt>
                <c:pt idx="5">
                  <c:v>4.8515625000000034E-2</c:v>
                </c:pt>
                <c:pt idx="6">
                  <c:v>2.4257812500000017E-2</c:v>
                </c:pt>
                <c:pt idx="7">
                  <c:v>1.2128906250000009E-2</c:v>
                </c:pt>
              </c:numCache>
            </c:numRef>
          </c:yVal>
          <c:smooth val="0"/>
        </c:ser>
        <c:ser>
          <c:idx val="6"/>
          <c:order val="6"/>
          <c:tx>
            <c:strRef>
              <c:f>'Summary OD'!$H$53</c:f>
              <c:strCache>
                <c:ptCount val="1"/>
                <c:pt idx="0">
                  <c:v>Culture 7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OD'!$H$54:$H$61</c:f>
              <c:numCache>
                <c:formatCode>General</c:formatCode>
                <c:ptCount val="8"/>
                <c:pt idx="0">
                  <c:v>0.15939999999999999</c:v>
                </c:pt>
                <c:pt idx="1">
                  <c:v>0.15740000000000001</c:v>
                </c:pt>
                <c:pt idx="2">
                  <c:v>0.15609999999999999</c:v>
                </c:pt>
                <c:pt idx="3">
                  <c:v>8.5000000000000006E-2</c:v>
                </c:pt>
                <c:pt idx="4">
                  <c:v>5.3999999999999999E-2</c:v>
                </c:pt>
                <c:pt idx="5">
                  <c:v>4.0899999999999999E-2</c:v>
                </c:pt>
                <c:pt idx="6">
                  <c:v>3.7600000000000001E-2</c:v>
                </c:pt>
                <c:pt idx="7">
                  <c:v>3.5200000000000002E-2</c:v>
                </c:pt>
              </c:numCache>
            </c:numRef>
          </c:xVal>
          <c:yVal>
            <c:numRef>
              <c:f>'Summary OD'!$U$54:$U$61</c:f>
              <c:numCache>
                <c:formatCode>General</c:formatCode>
                <c:ptCount val="8"/>
                <c:pt idx="0">
                  <c:v>9.6249999999997726E-2</c:v>
                </c:pt>
                <c:pt idx="1">
                  <c:v>9.6249999999997726E-2</c:v>
                </c:pt>
                <c:pt idx="2">
                  <c:v>9.6249999999997726E-2</c:v>
                </c:pt>
                <c:pt idx="3">
                  <c:v>4.8124999999998863E-2</c:v>
                </c:pt>
                <c:pt idx="4">
                  <c:v>2.4062499999999432E-2</c:v>
                </c:pt>
                <c:pt idx="5">
                  <c:v>1.2031249999999716E-2</c:v>
                </c:pt>
                <c:pt idx="6">
                  <c:v>6.0156249999998579E-3</c:v>
                </c:pt>
                <c:pt idx="7">
                  <c:v>3.0078124999999289E-3</c:v>
                </c:pt>
              </c:numCache>
            </c:numRef>
          </c:yVal>
          <c:smooth val="0"/>
        </c:ser>
        <c:ser>
          <c:idx val="7"/>
          <c:order val="7"/>
          <c:tx>
            <c:strRef>
              <c:f>'Summary OD'!$I$53</c:f>
              <c:strCache>
                <c:ptCount val="1"/>
                <c:pt idx="0">
                  <c:v>Culture 8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OD'!$I$54:$I$61</c:f>
              <c:numCache>
                <c:formatCode>General</c:formatCode>
                <c:ptCount val="8"/>
                <c:pt idx="0">
                  <c:v>0.16139999999999999</c:v>
                </c:pt>
                <c:pt idx="1">
                  <c:v>0.15939999999999999</c:v>
                </c:pt>
                <c:pt idx="2">
                  <c:v>0.15679999999999999</c:v>
                </c:pt>
                <c:pt idx="3">
                  <c:v>8.6300000000000002E-2</c:v>
                </c:pt>
                <c:pt idx="4">
                  <c:v>5.5199999999999999E-2</c:v>
                </c:pt>
                <c:pt idx="5">
                  <c:v>4.1200000000000001E-2</c:v>
                </c:pt>
                <c:pt idx="6">
                  <c:v>3.7100000000000001E-2</c:v>
                </c:pt>
                <c:pt idx="7">
                  <c:v>3.8100000000000002E-2</c:v>
                </c:pt>
              </c:numCache>
            </c:numRef>
          </c:xVal>
          <c:yVal>
            <c:numRef>
              <c:f>'Summary OD'!$V$54:$V$61</c:f>
              <c:numCache>
                <c:formatCode>General</c:formatCode>
                <c:ptCount val="8"/>
                <c:pt idx="0">
                  <c:v>0.10531250000000436</c:v>
                </c:pt>
                <c:pt idx="1">
                  <c:v>0.10531250000000436</c:v>
                </c:pt>
                <c:pt idx="2">
                  <c:v>0.10531250000000436</c:v>
                </c:pt>
                <c:pt idx="3">
                  <c:v>5.265625000000218E-2</c:v>
                </c:pt>
                <c:pt idx="4">
                  <c:v>2.632812500000109E-2</c:v>
                </c:pt>
                <c:pt idx="5">
                  <c:v>1.3164062500000545E-2</c:v>
                </c:pt>
                <c:pt idx="6">
                  <c:v>6.5820312500002726E-3</c:v>
                </c:pt>
                <c:pt idx="7">
                  <c:v>3.2910156250001363E-3</c:v>
                </c:pt>
              </c:numCache>
            </c:numRef>
          </c:yVal>
          <c:smooth val="0"/>
        </c:ser>
        <c:ser>
          <c:idx val="8"/>
          <c:order val="8"/>
          <c:tx>
            <c:strRef>
              <c:f>'Summary OD'!$J$53</c:f>
              <c:strCache>
                <c:ptCount val="1"/>
                <c:pt idx="0">
                  <c:v>Culture 9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OD'!$J$54:$J$61</c:f>
              <c:numCache>
                <c:formatCode>General</c:formatCode>
                <c:ptCount val="8"/>
                <c:pt idx="0">
                  <c:v>0.16320000000000001</c:v>
                </c:pt>
                <c:pt idx="1">
                  <c:v>0.16009999999999999</c:v>
                </c:pt>
                <c:pt idx="2">
                  <c:v>0.15870000000000001</c:v>
                </c:pt>
                <c:pt idx="3">
                  <c:v>8.9300000000000004E-2</c:v>
                </c:pt>
                <c:pt idx="4">
                  <c:v>5.7000000000000002E-2</c:v>
                </c:pt>
                <c:pt idx="5">
                  <c:v>4.24E-2</c:v>
                </c:pt>
                <c:pt idx="6">
                  <c:v>3.6600000000000001E-2</c:v>
                </c:pt>
                <c:pt idx="7">
                  <c:v>3.5799999999999998E-2</c:v>
                </c:pt>
              </c:numCache>
            </c:numRef>
          </c:xVal>
          <c:yVal>
            <c:numRef>
              <c:f>'Summary OD'!$W$54:$W$61</c:f>
              <c:numCache>
                <c:formatCode>General</c:formatCode>
                <c:ptCount val="8"/>
                <c:pt idx="0">
                  <c:v>9.7500000000000364E-2</c:v>
                </c:pt>
                <c:pt idx="1">
                  <c:v>9.7500000000000364E-2</c:v>
                </c:pt>
                <c:pt idx="2">
                  <c:v>9.7500000000000364E-2</c:v>
                </c:pt>
                <c:pt idx="3">
                  <c:v>4.8750000000000182E-2</c:v>
                </c:pt>
                <c:pt idx="4">
                  <c:v>2.4375000000000091E-2</c:v>
                </c:pt>
                <c:pt idx="5">
                  <c:v>1.2187500000000046E-2</c:v>
                </c:pt>
                <c:pt idx="6">
                  <c:v>6.0937500000000228E-3</c:v>
                </c:pt>
                <c:pt idx="7">
                  <c:v>3.0468750000000114E-3</c:v>
                </c:pt>
              </c:numCache>
            </c:numRef>
          </c:yVal>
          <c:smooth val="0"/>
        </c:ser>
        <c:ser>
          <c:idx val="9"/>
          <c:order val="9"/>
          <c:tx>
            <c:strRef>
              <c:f>'Summary OD'!$L$53</c:f>
              <c:strCache>
                <c:ptCount val="1"/>
                <c:pt idx="0">
                  <c:v>Culture 11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OD'!$L$54:$L$61</c:f>
              <c:numCache>
                <c:formatCode>General</c:formatCode>
                <c:ptCount val="8"/>
                <c:pt idx="0">
                  <c:v>0.1623</c:v>
                </c:pt>
                <c:pt idx="1">
                  <c:v>0.1583</c:v>
                </c:pt>
                <c:pt idx="2">
                  <c:v>0.1542</c:v>
                </c:pt>
                <c:pt idx="3">
                  <c:v>8.7900000000000006E-2</c:v>
                </c:pt>
                <c:pt idx="4">
                  <c:v>5.6500000000000002E-2</c:v>
                </c:pt>
                <c:pt idx="5">
                  <c:v>4.2999999999999997E-2</c:v>
                </c:pt>
                <c:pt idx="6">
                  <c:v>3.78E-2</c:v>
                </c:pt>
                <c:pt idx="7">
                  <c:v>3.6200000000000003E-2</c:v>
                </c:pt>
              </c:numCache>
            </c:numRef>
          </c:xVal>
          <c:yVal>
            <c:numRef>
              <c:f>'Summary OD'!$Y$54:$Y$61</c:f>
              <c:numCache>
                <c:formatCode>General</c:formatCode>
                <c:ptCount val="8"/>
                <c:pt idx="0">
                  <c:v>9.8437499999998179E-2</c:v>
                </c:pt>
                <c:pt idx="1">
                  <c:v>9.8437499999998179E-2</c:v>
                </c:pt>
                <c:pt idx="2">
                  <c:v>9.8437499999998179E-2</c:v>
                </c:pt>
                <c:pt idx="3">
                  <c:v>4.921874999999909E-2</c:v>
                </c:pt>
                <c:pt idx="4">
                  <c:v>2.4609374999999545E-2</c:v>
                </c:pt>
                <c:pt idx="5">
                  <c:v>1.2304687499999772E-2</c:v>
                </c:pt>
                <c:pt idx="6">
                  <c:v>6.1523437499998862E-3</c:v>
                </c:pt>
                <c:pt idx="7">
                  <c:v>3.0761718749999431E-3</c:v>
                </c:pt>
              </c:numCache>
            </c:numRef>
          </c:yVal>
          <c:smooth val="0"/>
        </c:ser>
        <c:ser>
          <c:idx val="10"/>
          <c:order val="10"/>
          <c:tx>
            <c:strRef>
              <c:f>'Summary OD'!$K$53</c:f>
              <c:strCache>
                <c:ptCount val="1"/>
                <c:pt idx="0">
                  <c:v>Culture 10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OD'!$K$54:$K$61</c:f>
              <c:numCache>
                <c:formatCode>General</c:formatCode>
                <c:ptCount val="8"/>
                <c:pt idx="0">
                  <c:v>0.15570000000000001</c:v>
                </c:pt>
                <c:pt idx="1">
                  <c:v>0.15529999999999999</c:v>
                </c:pt>
                <c:pt idx="2">
                  <c:v>0.1535</c:v>
                </c:pt>
                <c:pt idx="3">
                  <c:v>8.6499999999999994E-2</c:v>
                </c:pt>
                <c:pt idx="4">
                  <c:v>5.5899999999999998E-2</c:v>
                </c:pt>
                <c:pt idx="5">
                  <c:v>4.24E-2</c:v>
                </c:pt>
                <c:pt idx="6">
                  <c:v>3.6299999999999999E-2</c:v>
                </c:pt>
                <c:pt idx="7">
                  <c:v>3.5900000000000001E-2</c:v>
                </c:pt>
              </c:numCache>
            </c:numRef>
          </c:xVal>
          <c:yVal>
            <c:numRef>
              <c:f>'Summary OD'!$X$54:$X$61</c:f>
              <c:numCache>
                <c:formatCode>General</c:formatCode>
                <c:ptCount val="8"/>
                <c:pt idx="0">
                  <c:v>0.1009374999999979</c:v>
                </c:pt>
                <c:pt idx="1">
                  <c:v>0.1009374999999979</c:v>
                </c:pt>
                <c:pt idx="2">
                  <c:v>0.1009374999999979</c:v>
                </c:pt>
                <c:pt idx="3">
                  <c:v>5.0468749999998952E-2</c:v>
                </c:pt>
                <c:pt idx="4">
                  <c:v>2.5234374999999476E-2</c:v>
                </c:pt>
                <c:pt idx="5">
                  <c:v>1.2617187499999738E-2</c:v>
                </c:pt>
                <c:pt idx="6">
                  <c:v>6.308593749999869E-3</c:v>
                </c:pt>
                <c:pt idx="7">
                  <c:v>3.1542968749999345E-3</c:v>
                </c:pt>
              </c:numCache>
            </c:numRef>
          </c:yVal>
          <c:smooth val="0"/>
        </c:ser>
        <c:ser>
          <c:idx val="11"/>
          <c:order val="11"/>
          <c:tx>
            <c:strRef>
              <c:f>'Summary OD'!$M$53</c:f>
              <c:strCache>
                <c:ptCount val="1"/>
                <c:pt idx="0">
                  <c:v>Culture 12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OD'!$M$54:$M$61</c:f>
              <c:numCache>
                <c:formatCode>General</c:formatCode>
                <c:ptCount val="8"/>
                <c:pt idx="0">
                  <c:v>0.15890000000000001</c:v>
                </c:pt>
                <c:pt idx="1">
                  <c:v>0.15629999999999999</c:v>
                </c:pt>
                <c:pt idx="2">
                  <c:v>0.15340000000000001</c:v>
                </c:pt>
                <c:pt idx="3">
                  <c:v>8.8900000000000007E-2</c:v>
                </c:pt>
                <c:pt idx="4">
                  <c:v>5.6000000000000001E-2</c:v>
                </c:pt>
                <c:pt idx="5">
                  <c:v>4.2999999999999997E-2</c:v>
                </c:pt>
                <c:pt idx="6">
                  <c:v>3.61E-2</c:v>
                </c:pt>
                <c:pt idx="7">
                  <c:v>3.6299999999999999E-2</c:v>
                </c:pt>
              </c:numCache>
            </c:numRef>
          </c:xVal>
          <c:yVal>
            <c:numRef>
              <c:f>'Summary OD'!$Z$54:$Z$61</c:f>
              <c:numCache>
                <c:formatCode>General</c:formatCode>
                <c:ptCount val="8"/>
                <c:pt idx="0">
                  <c:v>9.9687499999995266E-2</c:v>
                </c:pt>
                <c:pt idx="1">
                  <c:v>9.9687499999995266E-2</c:v>
                </c:pt>
                <c:pt idx="2">
                  <c:v>9.9687499999995266E-2</c:v>
                </c:pt>
                <c:pt idx="3">
                  <c:v>4.9843749999997633E-2</c:v>
                </c:pt>
                <c:pt idx="4">
                  <c:v>2.4921874999998817E-2</c:v>
                </c:pt>
                <c:pt idx="5">
                  <c:v>1.2460937499999408E-2</c:v>
                </c:pt>
                <c:pt idx="6">
                  <c:v>6.2304687499997041E-3</c:v>
                </c:pt>
                <c:pt idx="7">
                  <c:v>3.1152343749998521E-3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389504"/>
        <c:axId val="86391040"/>
      </c:scatterChart>
      <c:valAx>
        <c:axId val="86389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6391040"/>
        <c:crosses val="autoZero"/>
        <c:crossBetween val="midCat"/>
      </c:valAx>
      <c:valAx>
        <c:axId val="86391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638950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1857361357042499E-2"/>
          <c:y val="5.1400554097404502E-2"/>
          <c:w val="0.50051763535969296"/>
          <c:h val="0.89719889180519097"/>
        </c:manualLayout>
      </c:layout>
      <c:scatterChart>
        <c:scatterStyle val="lineMarker"/>
        <c:varyColors val="0"/>
        <c:ser>
          <c:idx val="0"/>
          <c:order val="0"/>
          <c:tx>
            <c:strRef>
              <c:f>'Summary OD'!$N$64</c:f>
              <c:strCache>
                <c:ptCount val="1"/>
                <c:pt idx="0">
                  <c:v>Cultures 1-6</c:v>
                </c:pt>
              </c:strCache>
            </c:strRef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0.51502314503683799"/>
                  <c:y val="0.27803704789887901"/>
                </c:manualLayout>
              </c:layout>
              <c:numFmt formatCode="General" sourceLinked="0"/>
            </c:trendlineLbl>
          </c:trendline>
          <c:xVal>
            <c:numRef>
              <c:f>'Summary OD'!$N$65:$N$88</c:f>
              <c:numCache>
                <c:formatCode>General</c:formatCode>
                <c:ptCount val="24"/>
                <c:pt idx="0">
                  <c:v>0.318</c:v>
                </c:pt>
                <c:pt idx="1">
                  <c:v>0.31719999999999998</c:v>
                </c:pt>
                <c:pt idx="2">
                  <c:v>0.3145</c:v>
                </c:pt>
                <c:pt idx="3">
                  <c:v>0.13020000000000001</c:v>
                </c:pt>
                <c:pt idx="4">
                  <c:v>7.7499999999999999E-2</c:v>
                </c:pt>
                <c:pt idx="5">
                  <c:v>5.28E-2</c:v>
                </c:pt>
                <c:pt idx="6">
                  <c:v>4.2599999999999999E-2</c:v>
                </c:pt>
                <c:pt idx="7">
                  <c:v>3.8100000000000002E-2</c:v>
                </c:pt>
                <c:pt idx="8">
                  <c:v>0.3301</c:v>
                </c:pt>
                <c:pt idx="9">
                  <c:v>0.33</c:v>
                </c:pt>
                <c:pt idx="10">
                  <c:v>0.33489999999999998</c:v>
                </c:pt>
                <c:pt idx="11">
                  <c:v>0.14380000000000001</c:v>
                </c:pt>
                <c:pt idx="12">
                  <c:v>8.0799999999999997E-2</c:v>
                </c:pt>
                <c:pt idx="13">
                  <c:v>5.3999999999999999E-2</c:v>
                </c:pt>
                <c:pt idx="14">
                  <c:v>4.1399999999999999E-2</c:v>
                </c:pt>
                <c:pt idx="15">
                  <c:v>3.8600000000000002E-2</c:v>
                </c:pt>
                <c:pt idx="16">
                  <c:v>0.31119999999999998</c:v>
                </c:pt>
                <c:pt idx="17">
                  <c:v>0.30909999999999999</c:v>
                </c:pt>
                <c:pt idx="18">
                  <c:v>0.30980000000000002</c:v>
                </c:pt>
                <c:pt idx="19">
                  <c:v>0.14069999999999999</c:v>
                </c:pt>
                <c:pt idx="20">
                  <c:v>7.7799999999999994E-2</c:v>
                </c:pt>
                <c:pt idx="21">
                  <c:v>5.2499999999999998E-2</c:v>
                </c:pt>
                <c:pt idx="22">
                  <c:v>4.1300000000000003E-2</c:v>
                </c:pt>
                <c:pt idx="23">
                  <c:v>3.7999999999999999E-2</c:v>
                </c:pt>
              </c:numCache>
            </c:numRef>
          </c:xVal>
          <c:yVal>
            <c:numRef>
              <c:f>'Summary OD'!$R$65:$R$88</c:f>
              <c:numCache>
                <c:formatCode>General</c:formatCode>
                <c:ptCount val="24"/>
                <c:pt idx="0">
                  <c:v>0.4328125000000016</c:v>
                </c:pt>
                <c:pt idx="1">
                  <c:v>0.4328125000000016</c:v>
                </c:pt>
                <c:pt idx="2">
                  <c:v>0.4328125000000016</c:v>
                </c:pt>
                <c:pt idx="3">
                  <c:v>0.2164062500000008</c:v>
                </c:pt>
                <c:pt idx="4">
                  <c:v>0.1082031250000004</c:v>
                </c:pt>
                <c:pt idx="5">
                  <c:v>5.41015625000002E-2</c:v>
                </c:pt>
                <c:pt idx="6">
                  <c:v>2.70507812500001E-2</c:v>
                </c:pt>
                <c:pt idx="7">
                  <c:v>1.352539062500005E-2</c:v>
                </c:pt>
                <c:pt idx="8">
                  <c:v>0.42812500000000142</c:v>
                </c:pt>
                <c:pt idx="9">
                  <c:v>0.42812500000000142</c:v>
                </c:pt>
                <c:pt idx="10">
                  <c:v>0.42812500000000142</c:v>
                </c:pt>
                <c:pt idx="11">
                  <c:v>0.21406250000000071</c:v>
                </c:pt>
                <c:pt idx="12">
                  <c:v>0.10703125000000036</c:v>
                </c:pt>
                <c:pt idx="13">
                  <c:v>5.3515625000000178E-2</c:v>
                </c:pt>
                <c:pt idx="14">
                  <c:v>2.6757812500000089E-2</c:v>
                </c:pt>
                <c:pt idx="15">
                  <c:v>1.3378906250000044E-2</c:v>
                </c:pt>
                <c:pt idx="16">
                  <c:v>0.39812499999999917</c:v>
                </c:pt>
                <c:pt idx="17">
                  <c:v>0.39812499999999917</c:v>
                </c:pt>
                <c:pt idx="18">
                  <c:v>0.39812499999999917</c:v>
                </c:pt>
                <c:pt idx="19">
                  <c:v>0.19906249999999959</c:v>
                </c:pt>
                <c:pt idx="20">
                  <c:v>9.9531249999999793E-2</c:v>
                </c:pt>
                <c:pt idx="21">
                  <c:v>4.9765624999999897E-2</c:v>
                </c:pt>
                <c:pt idx="22">
                  <c:v>2.4882812499999948E-2</c:v>
                </c:pt>
                <c:pt idx="23">
                  <c:v>1.2441406249999974E-2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'Summary OD'!$O$64</c:f>
              <c:strCache>
                <c:ptCount val="1"/>
                <c:pt idx="0">
                  <c:v>Cultures 7-12</c:v>
                </c:pt>
              </c:strCache>
            </c:strRef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'Summary OD'!$O$65:$O$88</c:f>
              <c:numCache>
                <c:formatCode>General</c:formatCode>
                <c:ptCount val="24"/>
                <c:pt idx="0">
                  <c:v>0.31090000000000001</c:v>
                </c:pt>
                <c:pt idx="1">
                  <c:v>0.31009999999999999</c:v>
                </c:pt>
                <c:pt idx="2">
                  <c:v>0.31140000000000001</c:v>
                </c:pt>
                <c:pt idx="3">
                  <c:v>0.13250000000000001</c:v>
                </c:pt>
                <c:pt idx="4">
                  <c:v>7.6399999999999996E-2</c:v>
                </c:pt>
                <c:pt idx="5">
                  <c:v>5.3100000000000001E-2</c:v>
                </c:pt>
                <c:pt idx="6">
                  <c:v>4.07E-2</c:v>
                </c:pt>
                <c:pt idx="7">
                  <c:v>3.9E-2</c:v>
                </c:pt>
                <c:pt idx="8">
                  <c:v>0.29809999999999998</c:v>
                </c:pt>
                <c:pt idx="9">
                  <c:v>0.29630000000000001</c:v>
                </c:pt>
                <c:pt idx="10">
                  <c:v>0.28670000000000001</c:v>
                </c:pt>
                <c:pt idx="11">
                  <c:v>0.13070000000000001</c:v>
                </c:pt>
                <c:pt idx="12">
                  <c:v>7.6200000000000004E-2</c:v>
                </c:pt>
                <c:pt idx="13">
                  <c:v>5.2900000000000003E-2</c:v>
                </c:pt>
                <c:pt idx="14">
                  <c:v>4.1099999999999998E-2</c:v>
                </c:pt>
                <c:pt idx="15">
                  <c:v>3.7900000000000003E-2</c:v>
                </c:pt>
                <c:pt idx="16">
                  <c:v>0.31109999999999999</c:v>
                </c:pt>
                <c:pt idx="17">
                  <c:v>0.28070000000000001</c:v>
                </c:pt>
                <c:pt idx="18">
                  <c:v>0.27629999999999999</c:v>
                </c:pt>
                <c:pt idx="19">
                  <c:v>0.1232</c:v>
                </c:pt>
                <c:pt idx="20">
                  <c:v>7.2599999999999998E-2</c:v>
                </c:pt>
                <c:pt idx="21">
                  <c:v>4.9799999999999997E-2</c:v>
                </c:pt>
                <c:pt idx="22">
                  <c:v>4.0899999999999999E-2</c:v>
                </c:pt>
                <c:pt idx="23">
                  <c:v>3.7900000000000003E-2</c:v>
                </c:pt>
              </c:numCache>
            </c:numRef>
          </c:xVal>
          <c:yVal>
            <c:numRef>
              <c:f>'Summary OD'!$S$65:$S$88</c:f>
              <c:numCache>
                <c:formatCode>General</c:formatCode>
                <c:ptCount val="24"/>
                <c:pt idx="0">
                  <c:v>0.39406249999999754</c:v>
                </c:pt>
                <c:pt idx="1">
                  <c:v>0.39406249999999754</c:v>
                </c:pt>
                <c:pt idx="2">
                  <c:v>0.39406249999999754</c:v>
                </c:pt>
                <c:pt idx="3">
                  <c:v>0.19703124999999877</c:v>
                </c:pt>
                <c:pt idx="4">
                  <c:v>9.8515624999999385E-2</c:v>
                </c:pt>
                <c:pt idx="5">
                  <c:v>4.9257812499999692E-2</c:v>
                </c:pt>
                <c:pt idx="6">
                  <c:v>2.4628906249999846E-2</c:v>
                </c:pt>
                <c:pt idx="7">
                  <c:v>1.2314453124999923E-2</c:v>
                </c:pt>
                <c:pt idx="8">
                  <c:v>0.39124999999999854</c:v>
                </c:pt>
                <c:pt idx="9">
                  <c:v>0.39124999999999854</c:v>
                </c:pt>
                <c:pt idx="10">
                  <c:v>0.39124999999999854</c:v>
                </c:pt>
                <c:pt idx="11">
                  <c:v>0.19562499999999927</c:v>
                </c:pt>
                <c:pt idx="12">
                  <c:v>9.7812499999999636E-2</c:v>
                </c:pt>
                <c:pt idx="13">
                  <c:v>4.8906249999999818E-2</c:v>
                </c:pt>
                <c:pt idx="14">
                  <c:v>2.4453124999999909E-2</c:v>
                </c:pt>
                <c:pt idx="15">
                  <c:v>1.2226562499999954E-2</c:v>
                </c:pt>
                <c:pt idx="16">
                  <c:v>0.38812500000000028</c:v>
                </c:pt>
                <c:pt idx="17">
                  <c:v>0.38812500000000028</c:v>
                </c:pt>
                <c:pt idx="18">
                  <c:v>0.38812500000000028</c:v>
                </c:pt>
                <c:pt idx="19">
                  <c:v>0.19406250000000014</c:v>
                </c:pt>
                <c:pt idx="20">
                  <c:v>9.7031250000000069E-2</c:v>
                </c:pt>
                <c:pt idx="21">
                  <c:v>4.8515625000000034E-2</c:v>
                </c:pt>
                <c:pt idx="22">
                  <c:v>2.4257812500000017E-2</c:v>
                </c:pt>
                <c:pt idx="23">
                  <c:v>1.2128906250000009E-2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'Summary OD'!$P$64</c:f>
              <c:strCache>
                <c:ptCount val="1"/>
                <c:pt idx="0">
                  <c:v>Cultures 7-9</c:v>
                </c:pt>
              </c:strCache>
            </c:strRef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0.72192089064659903"/>
                  <c:y val="-0.173088167211706"/>
                </c:manualLayout>
              </c:layout>
              <c:numFmt formatCode="General" sourceLinked="0"/>
            </c:trendlineLbl>
          </c:trendline>
          <c:xVal>
            <c:numRef>
              <c:f>'Summary OD'!$P$65:$P$88</c:f>
              <c:numCache>
                <c:formatCode>General</c:formatCode>
                <c:ptCount val="24"/>
                <c:pt idx="0">
                  <c:v>0.15939999999999999</c:v>
                </c:pt>
                <c:pt idx="1">
                  <c:v>0.15740000000000001</c:v>
                </c:pt>
                <c:pt idx="2">
                  <c:v>0.15609999999999999</c:v>
                </c:pt>
                <c:pt idx="3">
                  <c:v>8.5000000000000006E-2</c:v>
                </c:pt>
                <c:pt idx="4">
                  <c:v>5.3999999999999999E-2</c:v>
                </c:pt>
                <c:pt idx="5">
                  <c:v>4.0899999999999999E-2</c:v>
                </c:pt>
                <c:pt idx="6">
                  <c:v>3.7600000000000001E-2</c:v>
                </c:pt>
                <c:pt idx="7">
                  <c:v>3.5200000000000002E-2</c:v>
                </c:pt>
                <c:pt idx="8">
                  <c:v>0.16139999999999999</c:v>
                </c:pt>
                <c:pt idx="9">
                  <c:v>0.15939999999999999</c:v>
                </c:pt>
                <c:pt idx="10">
                  <c:v>0.15679999999999999</c:v>
                </c:pt>
                <c:pt idx="11">
                  <c:v>8.6300000000000002E-2</c:v>
                </c:pt>
                <c:pt idx="12">
                  <c:v>5.5199999999999999E-2</c:v>
                </c:pt>
                <c:pt idx="13">
                  <c:v>4.1200000000000001E-2</c:v>
                </c:pt>
                <c:pt idx="14">
                  <c:v>3.7100000000000001E-2</c:v>
                </c:pt>
                <c:pt idx="15">
                  <c:v>3.8100000000000002E-2</c:v>
                </c:pt>
                <c:pt idx="16">
                  <c:v>0.16320000000000001</c:v>
                </c:pt>
                <c:pt idx="17">
                  <c:v>0.16009999999999999</c:v>
                </c:pt>
                <c:pt idx="18">
                  <c:v>0.15870000000000001</c:v>
                </c:pt>
                <c:pt idx="19">
                  <c:v>8.9300000000000004E-2</c:v>
                </c:pt>
                <c:pt idx="20">
                  <c:v>5.7000000000000002E-2</c:v>
                </c:pt>
                <c:pt idx="21">
                  <c:v>4.24E-2</c:v>
                </c:pt>
                <c:pt idx="22">
                  <c:v>3.6600000000000001E-2</c:v>
                </c:pt>
                <c:pt idx="23">
                  <c:v>3.5799999999999998E-2</c:v>
                </c:pt>
              </c:numCache>
            </c:numRef>
          </c:xVal>
          <c:yVal>
            <c:numRef>
              <c:f>'Summary OD'!$T$65:$T$88</c:f>
              <c:numCache>
                <c:formatCode>General</c:formatCode>
                <c:ptCount val="24"/>
                <c:pt idx="0">
                  <c:v>9.6249999999997726E-2</c:v>
                </c:pt>
                <c:pt idx="1">
                  <c:v>9.6249999999997726E-2</c:v>
                </c:pt>
                <c:pt idx="2">
                  <c:v>9.6249999999997726E-2</c:v>
                </c:pt>
                <c:pt idx="3">
                  <c:v>4.8124999999998863E-2</c:v>
                </c:pt>
                <c:pt idx="4">
                  <c:v>2.4062499999999432E-2</c:v>
                </c:pt>
                <c:pt idx="5">
                  <c:v>1.2031249999999716E-2</c:v>
                </c:pt>
                <c:pt idx="6">
                  <c:v>6.0156249999998579E-3</c:v>
                </c:pt>
                <c:pt idx="7">
                  <c:v>3.0078124999999289E-3</c:v>
                </c:pt>
                <c:pt idx="8">
                  <c:v>0.10531250000000436</c:v>
                </c:pt>
                <c:pt idx="9">
                  <c:v>0.10531250000000436</c:v>
                </c:pt>
                <c:pt idx="10">
                  <c:v>0.10531250000000436</c:v>
                </c:pt>
                <c:pt idx="11">
                  <c:v>5.265625000000218E-2</c:v>
                </c:pt>
                <c:pt idx="12">
                  <c:v>2.632812500000109E-2</c:v>
                </c:pt>
                <c:pt idx="13">
                  <c:v>1.3164062500000545E-2</c:v>
                </c:pt>
                <c:pt idx="14">
                  <c:v>6.5820312500002726E-3</c:v>
                </c:pt>
                <c:pt idx="15">
                  <c:v>3.2910156250001363E-3</c:v>
                </c:pt>
                <c:pt idx="16">
                  <c:v>9.7500000000000364E-2</c:v>
                </c:pt>
                <c:pt idx="17">
                  <c:v>9.7500000000000364E-2</c:v>
                </c:pt>
                <c:pt idx="18">
                  <c:v>9.7500000000000364E-2</c:v>
                </c:pt>
                <c:pt idx="19">
                  <c:v>4.8750000000000182E-2</c:v>
                </c:pt>
                <c:pt idx="20">
                  <c:v>2.4375000000000091E-2</c:v>
                </c:pt>
                <c:pt idx="21">
                  <c:v>1.2187500000000046E-2</c:v>
                </c:pt>
                <c:pt idx="22">
                  <c:v>6.0937500000000228E-3</c:v>
                </c:pt>
                <c:pt idx="23">
                  <c:v>3.0468750000000114E-3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'Summary OD'!$Q$64</c:f>
              <c:strCache>
                <c:ptCount val="1"/>
                <c:pt idx="0">
                  <c:v>Cultures 10-12</c:v>
                </c:pt>
              </c:strCache>
            </c:strRef>
          </c:tx>
          <c:spPr>
            <a:ln w="28575">
              <a:noFill/>
            </a:ln>
          </c:spPr>
          <c:xVal>
            <c:numRef>
              <c:f>'Summary OD'!$Q$65:$Q$88</c:f>
              <c:numCache>
                <c:formatCode>General</c:formatCode>
                <c:ptCount val="24"/>
                <c:pt idx="0">
                  <c:v>0.15570000000000001</c:v>
                </c:pt>
                <c:pt idx="1">
                  <c:v>0.15529999999999999</c:v>
                </c:pt>
                <c:pt idx="2">
                  <c:v>0.1535</c:v>
                </c:pt>
                <c:pt idx="3">
                  <c:v>8.6499999999999994E-2</c:v>
                </c:pt>
                <c:pt idx="4">
                  <c:v>5.5899999999999998E-2</c:v>
                </c:pt>
                <c:pt idx="5">
                  <c:v>4.24E-2</c:v>
                </c:pt>
                <c:pt idx="6">
                  <c:v>3.6299999999999999E-2</c:v>
                </c:pt>
                <c:pt idx="7">
                  <c:v>3.5900000000000001E-2</c:v>
                </c:pt>
                <c:pt idx="8">
                  <c:v>0.1623</c:v>
                </c:pt>
                <c:pt idx="9">
                  <c:v>0.1583</c:v>
                </c:pt>
                <c:pt idx="10">
                  <c:v>0.1542</c:v>
                </c:pt>
                <c:pt idx="11">
                  <c:v>8.7900000000000006E-2</c:v>
                </c:pt>
                <c:pt idx="12">
                  <c:v>5.6500000000000002E-2</c:v>
                </c:pt>
                <c:pt idx="13">
                  <c:v>4.2999999999999997E-2</c:v>
                </c:pt>
                <c:pt idx="14">
                  <c:v>3.78E-2</c:v>
                </c:pt>
                <c:pt idx="15">
                  <c:v>3.6200000000000003E-2</c:v>
                </c:pt>
                <c:pt idx="16">
                  <c:v>0.15890000000000001</c:v>
                </c:pt>
                <c:pt idx="17">
                  <c:v>0.15629999999999999</c:v>
                </c:pt>
                <c:pt idx="18">
                  <c:v>0.15340000000000001</c:v>
                </c:pt>
                <c:pt idx="19">
                  <c:v>8.8900000000000007E-2</c:v>
                </c:pt>
                <c:pt idx="20">
                  <c:v>5.6000000000000001E-2</c:v>
                </c:pt>
                <c:pt idx="21">
                  <c:v>4.2999999999999997E-2</c:v>
                </c:pt>
                <c:pt idx="22">
                  <c:v>3.61E-2</c:v>
                </c:pt>
                <c:pt idx="23">
                  <c:v>3.6299999999999999E-2</c:v>
                </c:pt>
              </c:numCache>
            </c:numRef>
          </c:xVal>
          <c:yVal>
            <c:numRef>
              <c:f>'Summary OD'!$U$65:$U$88</c:f>
              <c:numCache>
                <c:formatCode>General</c:formatCode>
                <c:ptCount val="24"/>
                <c:pt idx="0">
                  <c:v>0.1009374999999979</c:v>
                </c:pt>
                <c:pt idx="1">
                  <c:v>0.1009374999999979</c:v>
                </c:pt>
                <c:pt idx="2">
                  <c:v>0.1009374999999979</c:v>
                </c:pt>
                <c:pt idx="3">
                  <c:v>5.0468749999998952E-2</c:v>
                </c:pt>
                <c:pt idx="4">
                  <c:v>2.5234374999999476E-2</c:v>
                </c:pt>
                <c:pt idx="5">
                  <c:v>1.2617187499999738E-2</c:v>
                </c:pt>
                <c:pt idx="6">
                  <c:v>6.308593749999869E-3</c:v>
                </c:pt>
                <c:pt idx="7">
                  <c:v>3.1542968749999345E-3</c:v>
                </c:pt>
                <c:pt idx="8">
                  <c:v>9.8437499999998179E-2</c:v>
                </c:pt>
                <c:pt idx="9">
                  <c:v>9.8437499999998179E-2</c:v>
                </c:pt>
                <c:pt idx="10">
                  <c:v>9.8437499999998179E-2</c:v>
                </c:pt>
                <c:pt idx="11">
                  <c:v>4.921874999999909E-2</c:v>
                </c:pt>
                <c:pt idx="12">
                  <c:v>2.4609374999999545E-2</c:v>
                </c:pt>
                <c:pt idx="13">
                  <c:v>1.2304687499999772E-2</c:v>
                </c:pt>
                <c:pt idx="14">
                  <c:v>6.1523437499998862E-3</c:v>
                </c:pt>
                <c:pt idx="15">
                  <c:v>3.0761718749999431E-3</c:v>
                </c:pt>
                <c:pt idx="16">
                  <c:v>9.9687499999995266E-2</c:v>
                </c:pt>
                <c:pt idx="17">
                  <c:v>9.9687499999995266E-2</c:v>
                </c:pt>
                <c:pt idx="18">
                  <c:v>9.9687499999995266E-2</c:v>
                </c:pt>
                <c:pt idx="19">
                  <c:v>4.9843749999997633E-2</c:v>
                </c:pt>
                <c:pt idx="20">
                  <c:v>2.4921874999998817E-2</c:v>
                </c:pt>
                <c:pt idx="21">
                  <c:v>1.2460937499999408E-2</c:v>
                </c:pt>
                <c:pt idx="22">
                  <c:v>6.2304687499997041E-3</c:v>
                </c:pt>
                <c:pt idx="23">
                  <c:v>3.1152343749998521E-3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24256"/>
        <c:axId val="87830528"/>
      </c:scatterChart>
      <c:valAx>
        <c:axId val="878242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OD 550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7830528"/>
        <c:crosses val="autoZero"/>
        <c:crossBetween val="midCat"/>
      </c:valAx>
      <c:valAx>
        <c:axId val="878305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 DW/ L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782425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57215686511591801"/>
          <c:y val="0.17959572761738099"/>
          <c:w val="0.229925796996992"/>
          <c:h val="0.6697375328083989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Axenic Algae pH Adjusted to 7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'Summary OD'!$D$111</c:f>
              <c:strCache>
                <c:ptCount val="1"/>
                <c:pt idx="0">
                  <c:v>10 g/L Glc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'Summary OD'!$P$112:$P$117</c:f>
                <c:numCache>
                  <c:formatCode>General</c:formatCode>
                  <c:ptCount val="6"/>
                  <c:pt idx="0">
                    <c:v>1.6566429566395171E-2</c:v>
                  </c:pt>
                  <c:pt idx="1">
                    <c:v>1.5443455087976263E-2</c:v>
                  </c:pt>
                  <c:pt idx="2">
                    <c:v>5.890213313436541E-2</c:v>
                  </c:pt>
                  <c:pt idx="3">
                    <c:v>2.7697259444983167E-2</c:v>
                  </c:pt>
                  <c:pt idx="4">
                    <c:v>7.0356179764207355E-2</c:v>
                  </c:pt>
                  <c:pt idx="5">
                    <c:v>5.3262875685986893E-2</c:v>
                  </c:pt>
                </c:numCache>
              </c:numRef>
            </c:plus>
            <c:minus>
              <c:numRef>
                <c:f>'Summary OD'!$P$112:$P$117</c:f>
                <c:numCache>
                  <c:formatCode>General</c:formatCode>
                  <c:ptCount val="6"/>
                  <c:pt idx="0">
                    <c:v>1.6566429566395171E-2</c:v>
                  </c:pt>
                  <c:pt idx="1">
                    <c:v>1.5443455087976263E-2</c:v>
                  </c:pt>
                  <c:pt idx="2">
                    <c:v>5.890213313436541E-2</c:v>
                  </c:pt>
                  <c:pt idx="3">
                    <c:v>2.7697259444983167E-2</c:v>
                  </c:pt>
                  <c:pt idx="4">
                    <c:v>7.0356179764207355E-2</c:v>
                  </c:pt>
                  <c:pt idx="5">
                    <c:v>5.3262875685986893E-2</c:v>
                  </c:pt>
                </c:numCache>
              </c:numRef>
            </c:minus>
          </c:errBars>
          <c:xVal>
            <c:numRef>
              <c:f>'Summary OD'!$C$112:$C$117</c:f>
              <c:numCache>
                <c:formatCode>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OD'!$D$112:$D$117</c:f>
              <c:numCache>
                <c:formatCode>General</c:formatCode>
                <c:ptCount val="6"/>
                <c:pt idx="0">
                  <c:v>7.935366666666667E-2</c:v>
                </c:pt>
                <c:pt idx="1">
                  <c:v>0.31120698666666663</c:v>
                </c:pt>
                <c:pt idx="2">
                  <c:v>0.39998008000000002</c:v>
                </c:pt>
                <c:pt idx="3">
                  <c:v>0.42117341333333336</c:v>
                </c:pt>
                <c:pt idx="4">
                  <c:v>0.43031351999999989</c:v>
                </c:pt>
                <c:pt idx="5">
                  <c:v>0.40951322666666673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'Summary OD'!$E$111</c:f>
              <c:strCache>
                <c:ptCount val="1"/>
                <c:pt idx="0">
                  <c:v>0 g/L Glc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'Summary OD'!$Q$112:$Q$117</c:f>
                <c:numCache>
                  <c:formatCode>General</c:formatCode>
                  <c:ptCount val="6"/>
                  <c:pt idx="0">
                    <c:v>6.0583953590106149E-3</c:v>
                  </c:pt>
                  <c:pt idx="1">
                    <c:v>2.9866133821945702E-3</c:v>
                  </c:pt>
                  <c:pt idx="2">
                    <c:v>7.7178549030193404E-3</c:v>
                  </c:pt>
                  <c:pt idx="3">
                    <c:v>4.2371918053539567E-3</c:v>
                  </c:pt>
                  <c:pt idx="4">
                    <c:v>5.917833823772191E-3</c:v>
                  </c:pt>
                  <c:pt idx="5">
                    <c:v>3.9229059239509851E-3</c:v>
                  </c:pt>
                </c:numCache>
              </c:numRef>
            </c:plus>
            <c:minus>
              <c:numRef>
                <c:f>'Summary OD'!$Q$112:$Q$117</c:f>
                <c:numCache>
                  <c:formatCode>General</c:formatCode>
                  <c:ptCount val="6"/>
                  <c:pt idx="0">
                    <c:v>6.0583953590106149E-3</c:v>
                  </c:pt>
                  <c:pt idx="1">
                    <c:v>2.9866133821945702E-3</c:v>
                  </c:pt>
                  <c:pt idx="2">
                    <c:v>7.7178549030193404E-3</c:v>
                  </c:pt>
                  <c:pt idx="3">
                    <c:v>4.2371918053539567E-3</c:v>
                  </c:pt>
                  <c:pt idx="4">
                    <c:v>5.917833823772191E-3</c:v>
                  </c:pt>
                  <c:pt idx="5">
                    <c:v>3.9229059239509851E-3</c:v>
                  </c:pt>
                </c:numCache>
              </c:numRef>
            </c:minus>
          </c:errBars>
          <c:xVal>
            <c:numRef>
              <c:f>'Summary OD'!$C$112:$C$117</c:f>
              <c:numCache>
                <c:formatCode>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OD'!$E$112:$E$117</c:f>
              <c:numCache>
                <c:formatCode>General</c:formatCode>
                <c:ptCount val="6"/>
                <c:pt idx="0">
                  <c:v>7.7676758333333318E-2</c:v>
                </c:pt>
                <c:pt idx="1">
                  <c:v>8.0463199999999985E-2</c:v>
                </c:pt>
                <c:pt idx="2">
                  <c:v>8.45272861111111E-2</c:v>
                </c:pt>
                <c:pt idx="3">
                  <c:v>8.9179761111111103E-2</c:v>
                </c:pt>
                <c:pt idx="4">
                  <c:v>9.4378597222222207E-2</c:v>
                </c:pt>
                <c:pt idx="5">
                  <c:v>9.9375699999999997E-2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51776"/>
        <c:axId val="87853696"/>
      </c:scatterChart>
      <c:valAx>
        <c:axId val="87851776"/>
        <c:scaling>
          <c:orientation val="minMax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Hour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crossAx val="87853696"/>
        <c:crosses val="autoZero"/>
        <c:crossBetween val="midCat"/>
      </c:valAx>
      <c:valAx>
        <c:axId val="8785369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 DW/ L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785177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Axenic Biomass Productivity</a:t>
            </a:r>
          </a:p>
        </c:rich>
      </c:tx>
      <c:layout>
        <c:manualLayout>
          <c:xMode val="edge"/>
          <c:yMode val="edge"/>
          <c:x val="0.179972719591558"/>
          <c:y val="0"/>
        </c:manualLayout>
      </c:layout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'Summary OD'!$A$174</c:f>
              <c:strCache>
                <c:ptCount val="1"/>
                <c:pt idx="0">
                  <c:v>5 Day Lipid Productivity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'Summary OD'!$P$174:$S$174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</c:numCache>
              </c:numRef>
            </c:plus>
            <c:minus>
              <c:numRef>
                <c:f>'Summary OD'!$P$174:$S$174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</c:numCache>
              </c:numRef>
            </c:minus>
          </c:errBars>
          <c:cat>
            <c:strRef>
              <c:f>'Summary OD'!$D$171:$G$171</c:f>
              <c:strCache>
                <c:ptCount val="4"/>
                <c:pt idx="0">
                  <c:v>Control</c:v>
                </c:pt>
                <c:pt idx="1">
                  <c:v>Thiamine</c:v>
                </c:pt>
                <c:pt idx="2">
                  <c:v>Pantothenic</c:v>
                </c:pt>
                <c:pt idx="3">
                  <c:v>Thiamine and Pantothenic</c:v>
                </c:pt>
              </c:strCache>
            </c:strRef>
          </c:cat>
          <c:val>
            <c:numRef>
              <c:f>'Summary OD'!$D$174:$G$174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2"/>
          <c:order val="1"/>
          <c:tx>
            <c:strRef>
              <c:f>'Summary OD'!$A$176</c:f>
              <c:strCache>
                <c:ptCount val="1"/>
                <c:pt idx="0">
                  <c:v>5 Day Starch + Glycogen Productivity</c:v>
                </c:pt>
              </c:strCache>
            </c:strRef>
          </c:tx>
          <c:invertIfNegative val="0"/>
          <c:cat>
            <c:strRef>
              <c:f>'Summary OD'!$D$171:$G$171</c:f>
              <c:strCache>
                <c:ptCount val="4"/>
                <c:pt idx="0">
                  <c:v>Control</c:v>
                </c:pt>
                <c:pt idx="1">
                  <c:v>Thiamine</c:v>
                </c:pt>
                <c:pt idx="2">
                  <c:v>Pantothenic</c:v>
                </c:pt>
                <c:pt idx="3">
                  <c:v>Thiamine and Pantothenic</c:v>
                </c:pt>
              </c:strCache>
            </c:strRef>
          </c:cat>
          <c:val>
            <c:numRef>
              <c:f>'Summary OD'!$D$176:$G$176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2"/>
          <c:tx>
            <c:strRef>
              <c:f>'Summary OD'!$A$177</c:f>
              <c:strCache>
                <c:ptCount val="1"/>
                <c:pt idx="0">
                  <c:v>5 Day Other Biomass Productivity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'Summary OD'!$H$172:$K$172</c:f>
                <c:numCache>
                  <c:formatCode>General</c:formatCode>
                  <c:ptCount val="4"/>
                  <c:pt idx="0">
                    <c:v>2.9069488309995482</c:v>
                  </c:pt>
                  <c:pt idx="1">
                    <c:v>0.92112367251636318</c:v>
                  </c:pt>
                  <c:pt idx="2">
                    <c:v>0.7943820053797731</c:v>
                  </c:pt>
                  <c:pt idx="3">
                    <c:v>0.71631044731788107</c:v>
                  </c:pt>
                </c:numCache>
              </c:numRef>
            </c:plus>
            <c:minus>
              <c:numRef>
                <c:f>'Summary OD'!$H$172:$K$172</c:f>
                <c:numCache>
                  <c:formatCode>General</c:formatCode>
                  <c:ptCount val="4"/>
                  <c:pt idx="0">
                    <c:v>2.9069488309995482</c:v>
                  </c:pt>
                  <c:pt idx="1">
                    <c:v>0.92112367251636318</c:v>
                  </c:pt>
                  <c:pt idx="2">
                    <c:v>0.7943820053797731</c:v>
                  </c:pt>
                  <c:pt idx="3">
                    <c:v>0.71631044731788107</c:v>
                  </c:pt>
                </c:numCache>
              </c:numRef>
            </c:minus>
          </c:errBars>
          <c:cat>
            <c:strRef>
              <c:f>'Summary OD'!$D$171:$G$171</c:f>
              <c:strCache>
                <c:ptCount val="4"/>
                <c:pt idx="0">
                  <c:v>Control</c:v>
                </c:pt>
                <c:pt idx="1">
                  <c:v>Thiamine</c:v>
                </c:pt>
                <c:pt idx="2">
                  <c:v>Pantothenic</c:v>
                </c:pt>
                <c:pt idx="3">
                  <c:v>Thiamine and Pantothenic</c:v>
                </c:pt>
              </c:strCache>
            </c:strRef>
          </c:cat>
          <c:val>
            <c:numRef>
              <c:f>'Summary OD'!$D$177:$G$177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7901696"/>
        <c:axId val="87903232"/>
      </c:barChart>
      <c:catAx>
        <c:axId val="87901696"/>
        <c:scaling>
          <c:orientation val="minMax"/>
        </c:scaling>
        <c:delete val="0"/>
        <c:axPos val="b"/>
        <c:majorTickMark val="out"/>
        <c:minorTickMark val="none"/>
        <c:tickLblPos val="nextTo"/>
        <c:crossAx val="87903232"/>
        <c:crosses val="autoZero"/>
        <c:auto val="1"/>
        <c:lblAlgn val="ctr"/>
        <c:lblOffset val="100"/>
        <c:noMultiLvlLbl val="0"/>
      </c:catAx>
      <c:valAx>
        <c:axId val="8790323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mg/ L/ day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7901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Lineweaver Burk</c:v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115922353455818"/>
                  <c:y val="-2.3507217847769001E-2"/>
                </c:manualLayout>
              </c:layout>
              <c:numFmt formatCode="General" sourceLinked="0"/>
            </c:trendlineLbl>
          </c:trendline>
          <c:xVal>
            <c:numRef>
              <c:f>Kinetics!$G$33:$O$33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Kinetics!$G$31:$O$31</c:f>
              <c:numCache>
                <c:formatCode>General</c:formatCode>
                <c:ptCount val="9"/>
                <c:pt idx="0">
                  <c:v>0.85824715056613299</c:v>
                </c:pt>
                <c:pt idx="1">
                  <c:v>0.80154345243418512</c:v>
                </c:pt>
                <c:pt idx="2">
                  <c:v>0.83211883598906766</c:v>
                </c:pt>
                <c:pt idx="3">
                  <c:v>15.146138113135603</c:v>
                </c:pt>
                <c:pt idx="4">
                  <c:v>22.693336408203141</c:v>
                </c:pt>
                <c:pt idx="5">
                  <c:v>18.948345872696141</c:v>
                </c:pt>
                <c:pt idx="6">
                  <c:v>41.911650143203715</c:v>
                </c:pt>
                <c:pt idx="7">
                  <c:v>-179.38187559668327</c:v>
                </c:pt>
                <c:pt idx="8">
                  <c:v>31.094684451921417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449472"/>
        <c:axId val="117451008"/>
      </c:scatterChart>
      <c:valAx>
        <c:axId val="117449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7451008"/>
        <c:crosses val="autoZero"/>
        <c:crossBetween val="midCat"/>
      </c:valAx>
      <c:valAx>
        <c:axId val="1174510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744947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Kinetics!$D$60</c:f>
              <c:strCache>
                <c:ptCount val="1"/>
                <c:pt idx="0">
                  <c:v>0 g/ L mod</c:v>
                </c:pt>
              </c:strCache>
            </c:strRef>
          </c:tx>
          <c:xVal>
            <c:numRef>
              <c:f>Kinetics!$C$61:$C$66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Kinetics!$D$61:$D$66</c:f>
              <c:numCache>
                <c:formatCode>General</c:formatCode>
                <c:ptCount val="6"/>
                <c:pt idx="0">
                  <c:v>8.2362855555555545E-2</c:v>
                </c:pt>
                <c:pt idx="1">
                  <c:v>8.2362855555555545E-2</c:v>
                </c:pt>
                <c:pt idx="2">
                  <c:v>8.2362855555555545E-2</c:v>
                </c:pt>
                <c:pt idx="3">
                  <c:v>8.2362855555555545E-2</c:v>
                </c:pt>
                <c:pt idx="4">
                  <c:v>8.2362855555555545E-2</c:v>
                </c:pt>
                <c:pt idx="5">
                  <c:v>8.2362855555555545E-2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Kinetics!$E$60</c:f>
              <c:strCache>
                <c:ptCount val="1"/>
                <c:pt idx="0">
                  <c:v>0.5 g/ L mod</c:v>
                </c:pt>
              </c:strCache>
            </c:strRef>
          </c:tx>
          <c:xVal>
            <c:numRef>
              <c:f>Kinetics!$C$61:$C$66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Kinetics!$E$61:$E$66</c:f>
              <c:numCache>
                <c:formatCode>General</c:formatCode>
                <c:ptCount val="6"/>
                <c:pt idx="0">
                  <c:v>7.6344477777777767E-2</c:v>
                </c:pt>
                <c:pt idx="1">
                  <c:v>7.6344477777777767E-2</c:v>
                </c:pt>
                <c:pt idx="2">
                  <c:v>7.6344477777777767E-2</c:v>
                </c:pt>
                <c:pt idx="3">
                  <c:v>7.6344477777777767E-2</c:v>
                </c:pt>
                <c:pt idx="4">
                  <c:v>7.6344477777777767E-2</c:v>
                </c:pt>
                <c:pt idx="5">
                  <c:v>7.6344477777777767E-2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Kinetics!$F$60</c:f>
              <c:strCache>
                <c:ptCount val="1"/>
                <c:pt idx="0">
                  <c:v>2 g/ L mod</c:v>
                </c:pt>
              </c:strCache>
            </c:strRef>
          </c:tx>
          <c:xVal>
            <c:numRef>
              <c:f>Kinetics!$C$61:$C$64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xVal>
          <c:yVal>
            <c:numRef>
              <c:f>Kinetics!$F$61:$F$64</c:f>
              <c:numCache>
                <c:formatCode>General</c:formatCode>
                <c:ptCount val="4"/>
                <c:pt idx="0">
                  <c:v>7.657142777777777E-2</c:v>
                </c:pt>
                <c:pt idx="1">
                  <c:v>7.657142777777777E-2</c:v>
                </c:pt>
                <c:pt idx="2">
                  <c:v>7.657142777777777E-2</c:v>
                </c:pt>
                <c:pt idx="3">
                  <c:v>7.657142777777777E-2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Kinetics!$G$60</c:f>
              <c:strCache>
                <c:ptCount val="1"/>
                <c:pt idx="0">
                  <c:v>10 g/ L mod</c:v>
                </c:pt>
              </c:strCache>
            </c:strRef>
          </c:tx>
          <c:xVal>
            <c:numRef>
              <c:f>Kinetics!$C$61:$C$63</c:f>
              <c:numCache>
                <c:formatCode>General</c:formatCode>
                <c:ptCount val="3"/>
                <c:pt idx="0">
                  <c:v>0</c:v>
                </c:pt>
                <c:pt idx="1">
                  <c:v>1</c:v>
                </c:pt>
                <c:pt idx="2">
                  <c:v>2</c:v>
                </c:pt>
              </c:numCache>
            </c:numRef>
          </c:xVal>
          <c:yVal>
            <c:numRef>
              <c:f>Kinetics!$G$61:$G$63</c:f>
              <c:numCache>
                <c:formatCode>General</c:formatCode>
                <c:ptCount val="3"/>
                <c:pt idx="0">
                  <c:v>7.8782088888888865E-2</c:v>
                </c:pt>
                <c:pt idx="1">
                  <c:v>7.8782088888888865E-2</c:v>
                </c:pt>
                <c:pt idx="2">
                  <c:v>7.8782088888888865E-2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Kinetics!$J$60</c:f>
              <c:strCache>
                <c:ptCount val="1"/>
                <c:pt idx="0">
                  <c:v>0 g/ L act</c:v>
                </c:pt>
              </c:strCache>
            </c:strRef>
          </c:tx>
          <c:xVal>
            <c:numRef>
              <c:f>Kinetics!$I$61:$I$66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Kinetics!$J$61:$J$66</c:f>
              <c:numCache>
                <c:formatCode>General</c:formatCode>
                <c:ptCount val="6"/>
                <c:pt idx="0">
                  <c:v>8.2362855555555545E-2</c:v>
                </c:pt>
                <c:pt idx="1">
                  <c:v>0.31465957333333333</c:v>
                </c:pt>
                <c:pt idx="2">
                  <c:v>0.38613120000000006</c:v>
                </c:pt>
                <c:pt idx="3">
                  <c:v>0.42528106666666671</c:v>
                </c:pt>
                <c:pt idx="4">
                  <c:v>0.45253183999999996</c:v>
                </c:pt>
                <c:pt idx="5">
                  <c:v>0.42440250666666673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Kinetics!$K$60</c:f>
              <c:strCache>
                <c:ptCount val="1"/>
                <c:pt idx="0">
                  <c:v>0.5 g/ L act</c:v>
                </c:pt>
              </c:strCache>
            </c:strRef>
          </c:tx>
          <c:xVal>
            <c:numRef>
              <c:f>Kinetics!$I$61:$I$66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Kinetics!$K$61:$K$67</c:f>
              <c:numCache>
                <c:formatCode>General</c:formatCode>
                <c:ptCount val="7"/>
                <c:pt idx="0">
                  <c:v>7.6344477777777767E-2</c:v>
                </c:pt>
                <c:pt idx="1">
                  <c:v>0.30775440000000004</c:v>
                </c:pt>
                <c:pt idx="2">
                  <c:v>0.41382895999999997</c:v>
                </c:pt>
                <c:pt idx="3">
                  <c:v>0.41706576000000001</c:v>
                </c:pt>
                <c:pt idx="4">
                  <c:v>0.40809519999999999</c:v>
                </c:pt>
                <c:pt idx="5">
                  <c:v>0.39462394666666673</c:v>
                </c:pt>
                <c:pt idx="6">
                  <c:v>0.39114583333333214</c:v>
                </c:pt>
              </c:numCache>
            </c:numRef>
          </c:yVal>
          <c:smooth val="0"/>
        </c:ser>
        <c:ser>
          <c:idx val="6"/>
          <c:order val="6"/>
          <c:tx>
            <c:strRef>
              <c:f>Kinetics!$L$60</c:f>
              <c:strCache>
                <c:ptCount val="1"/>
                <c:pt idx="0">
                  <c:v>2 g/ L act</c:v>
                </c:pt>
              </c:strCache>
            </c:strRef>
          </c:tx>
          <c:xVal>
            <c:numRef>
              <c:f>Kinetics!$I$61:$I$66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Kinetics!$L$61:$L$66</c:f>
              <c:numCache>
                <c:formatCode>General</c:formatCode>
                <c:ptCount val="6"/>
                <c:pt idx="0">
                  <c:v>7.657142777777777E-2</c:v>
                </c:pt>
                <c:pt idx="1">
                  <c:v>8.0833044444444432E-2</c:v>
                </c:pt>
                <c:pt idx="2">
                  <c:v>8.5615805555555535E-2</c:v>
                </c:pt>
                <c:pt idx="3">
                  <c:v>8.883513333333333E-2</c:v>
                </c:pt>
                <c:pt idx="4">
                  <c:v>9.5324222222222213E-2</c:v>
                </c:pt>
                <c:pt idx="5">
                  <c:v>0.10040958333333333</c:v>
                </c:pt>
              </c:numCache>
            </c:numRef>
          </c:yVal>
          <c:smooth val="0"/>
        </c:ser>
        <c:ser>
          <c:idx val="7"/>
          <c:order val="7"/>
          <c:tx>
            <c:strRef>
              <c:f>Kinetics!$M$60</c:f>
              <c:strCache>
                <c:ptCount val="1"/>
                <c:pt idx="0">
                  <c:v>10 g/ L act</c:v>
                </c:pt>
              </c:strCache>
            </c:strRef>
          </c:tx>
          <c:xVal>
            <c:numRef>
              <c:f>Kinetics!$I$61:$I$66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Kinetics!$M$61:$M$67</c:f>
              <c:numCache>
                <c:formatCode>General</c:formatCode>
                <c:ptCount val="7"/>
                <c:pt idx="0">
                  <c:v>7.8782088888888865E-2</c:v>
                </c:pt>
                <c:pt idx="1">
                  <c:v>8.0093355555555537E-2</c:v>
                </c:pt>
                <c:pt idx="2">
                  <c:v>8.343876666666665E-2</c:v>
                </c:pt>
                <c:pt idx="3">
                  <c:v>8.9524388888888876E-2</c:v>
                </c:pt>
                <c:pt idx="4">
                  <c:v>9.343297222222223E-2</c:v>
                </c:pt>
                <c:pt idx="5">
                  <c:v>9.8341816666666651E-2</c:v>
                </c:pt>
                <c:pt idx="6">
                  <c:v>9.9687499999997112E-2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495680"/>
        <c:axId val="117497216"/>
      </c:scatterChart>
      <c:valAx>
        <c:axId val="1174956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7497216"/>
        <c:crosses val="autoZero"/>
        <c:crossBetween val="midCat"/>
      </c:valAx>
      <c:valAx>
        <c:axId val="1174972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749568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Lineweaver Burke</c:v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6.1803368328958899E-2"/>
                  <c:y val="0.175566856226305"/>
                </c:manualLayout>
              </c:layout>
              <c:numFmt formatCode="General" sourceLinked="0"/>
            </c:trendlineLbl>
          </c:trendline>
          <c:xVal>
            <c:numRef>
              <c:f>(Kinetics!$G$88:$L$88,Kinetics!$N$88:$O$88)</c:f>
              <c:numCache>
                <c:formatCode>General</c:formatCode>
                <c:ptCount val="8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0.5</c:v>
                </c:pt>
                <c:pt idx="4">
                  <c:v>0.5</c:v>
                </c:pt>
                <c:pt idx="5">
                  <c:v>0.5</c:v>
                </c:pt>
                <c:pt idx="6">
                  <c:v>0.1</c:v>
                </c:pt>
                <c:pt idx="7">
                  <c:v>0.1</c:v>
                </c:pt>
              </c:numCache>
            </c:numRef>
          </c:xVal>
          <c:yVal>
            <c:numRef>
              <c:f>(Kinetics!$G$86:$L$86,Kinetics!$N$86:$O$86)</c:f>
              <c:numCache>
                <c:formatCode>General</c:formatCode>
                <c:ptCount val="8"/>
                <c:pt idx="0">
                  <c:v>1.2542326424560537</c:v>
                </c:pt>
                <c:pt idx="1">
                  <c:v>1.1269747193845627</c:v>
                </c:pt>
                <c:pt idx="2">
                  <c:v>1.2584130809016685</c:v>
                </c:pt>
                <c:pt idx="3">
                  <c:v>16.859780955533456</c:v>
                </c:pt>
                <c:pt idx="4">
                  <c:v>14.132235959245294</c:v>
                </c:pt>
                <c:pt idx="5">
                  <c:v>19.607996715568191</c:v>
                </c:pt>
                <c:pt idx="6">
                  <c:v>24.315866330075576</c:v>
                </c:pt>
                <c:pt idx="7">
                  <c:v>16.383540545877501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538816"/>
        <c:axId val="117540352"/>
      </c:scatterChart>
      <c:valAx>
        <c:axId val="1175388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7540352"/>
        <c:crosses val="autoZero"/>
        <c:crossBetween val="midCat"/>
      </c:valAx>
      <c:valAx>
        <c:axId val="117540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753881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Actual </c:v>
          </c:tx>
          <c:spPr>
            <a:ln w="28575">
              <a:noFill/>
            </a:ln>
          </c:spPr>
          <c:xVal>
            <c:numRef>
              <c:f>(Kinetics!$G$87:$L$87,Kinetics!$N$87:$O$87)</c:f>
              <c:numCache>
                <c:formatCode>General</c:formatCode>
                <c:ptCount val="8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10</c:v>
                </c:pt>
                <c:pt idx="7">
                  <c:v>10</c:v>
                </c:pt>
              </c:numCache>
            </c:numRef>
          </c:xVal>
          <c:yVal>
            <c:numRef>
              <c:f>(Kinetics!$G$85:$L$85,Kinetics!$N$85:$O$85)</c:f>
              <c:numCache>
                <c:formatCode>General</c:formatCode>
                <c:ptCount val="8"/>
                <c:pt idx="0">
                  <c:v>0.79730025048765096</c:v>
                </c:pt>
                <c:pt idx="1">
                  <c:v>0.88733135073881408</c:v>
                </c:pt>
                <c:pt idx="2">
                  <c:v>0.79465162527036648</c:v>
                </c:pt>
                <c:pt idx="3">
                  <c:v>5.9312751609136155E-2</c:v>
                </c:pt>
                <c:pt idx="4">
                  <c:v>7.0760211114774166E-2</c:v>
                </c:pt>
                <c:pt idx="5">
                  <c:v>5.0999600545935858E-2</c:v>
                </c:pt>
                <c:pt idx="6">
                  <c:v>4.1125411137958492E-2</c:v>
                </c:pt>
                <c:pt idx="7">
                  <c:v>6.1036867897984626E-2</c:v>
                </c:pt>
              </c:numCache>
            </c:numRef>
          </c:yVal>
          <c:smooth val="0"/>
        </c:ser>
        <c:ser>
          <c:idx val="1"/>
          <c:order val="1"/>
          <c:tx>
            <c:v>Modeled</c:v>
          </c:tx>
          <c:spPr>
            <a:ln w="28575">
              <a:noFill/>
            </a:ln>
          </c:spPr>
          <c:xVal>
            <c:numRef>
              <c:f>Kinetics!$G$87:$O$87</c:f>
              <c:numCache>
                <c:formatCode>General</c:formatCode>
                <c:ptCount val="9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</c:numCache>
            </c:numRef>
          </c:xVal>
          <c:yVal>
            <c:numRef>
              <c:f>Kinetics!$G$106:$O$106</c:f>
              <c:numCache>
                <c:formatCode>General</c:formatCode>
                <c:ptCount val="9"/>
                <c:pt idx="0">
                  <c:v>0.46908715639365794</c:v>
                </c:pt>
                <c:pt idx="1">
                  <c:v>0.46908715639365794</c:v>
                </c:pt>
                <c:pt idx="2">
                  <c:v>0.46908715639365794</c:v>
                </c:pt>
                <c:pt idx="3">
                  <c:v>1.1655011655011656</c:v>
                </c:pt>
                <c:pt idx="4">
                  <c:v>1.1655011655011656</c:v>
                </c:pt>
                <c:pt idx="5">
                  <c:v>1.1655011655011656</c:v>
                </c:pt>
                <c:pt idx="6">
                  <c:v>1.9293100787158515</c:v>
                </c:pt>
                <c:pt idx="7">
                  <c:v>1.9293100787158515</c:v>
                </c:pt>
                <c:pt idx="8">
                  <c:v>1.9293100787158515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548928"/>
        <c:axId val="117550464"/>
      </c:scatterChart>
      <c:valAx>
        <c:axId val="117548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7550464"/>
        <c:crosses val="autoZero"/>
        <c:crossBetween val="midCat"/>
      </c:valAx>
      <c:valAx>
        <c:axId val="1175504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754892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pH of Axenic Algae Cultures in Acetate Media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pH!$D$1</c:f>
              <c:strCache>
                <c:ptCount val="1"/>
                <c:pt idx="0">
                  <c:v>10 g/ L Glc</c:v>
                </c:pt>
              </c:strCache>
            </c:strRef>
          </c:tx>
          <c:marker>
            <c:symbol val="none"/>
          </c:marker>
          <c:xVal>
            <c:numRef>
              <c:f>pH!$C$3:$C$13</c:f>
              <c:numCache>
                <c:formatCode>0.00</c:formatCode>
                <c:ptCount val="11"/>
                <c:pt idx="0">
                  <c:v>0</c:v>
                </c:pt>
                <c:pt idx="1">
                  <c:v>23.958333333333332</c:v>
                </c:pt>
                <c:pt idx="2">
                  <c:v>23.979166666666664</c:v>
                </c:pt>
                <c:pt idx="3">
                  <c:v>48</c:v>
                </c:pt>
                <c:pt idx="4">
                  <c:v>48.020833333333329</c:v>
                </c:pt>
                <c:pt idx="5">
                  <c:v>71.979166666666657</c:v>
                </c:pt>
                <c:pt idx="6">
                  <c:v>72.1875</c:v>
                </c:pt>
                <c:pt idx="7">
                  <c:v>95.979166666666657</c:v>
                </c:pt>
                <c:pt idx="8">
                  <c:v>96.208333333333343</c:v>
                </c:pt>
                <c:pt idx="9">
                  <c:v>120.20833333333333</c:v>
                </c:pt>
              </c:numCache>
            </c:numRef>
          </c:xVal>
          <c:yVal>
            <c:numRef>
              <c:f>pH!$D$3:$D$13</c:f>
              <c:numCache>
                <c:formatCode>General</c:formatCode>
                <c:ptCount val="11"/>
                <c:pt idx="0">
                  <c:v>7</c:v>
                </c:pt>
                <c:pt idx="1">
                  <c:v>7</c:v>
                </c:pt>
                <c:pt idx="2">
                  <c:v>7</c:v>
                </c:pt>
                <c:pt idx="3">
                  <c:v>5</c:v>
                </c:pt>
                <c:pt idx="4">
                  <c:v>7</c:v>
                </c:pt>
                <c:pt idx="5">
                  <c:v>6</c:v>
                </c:pt>
                <c:pt idx="6">
                  <c:v>7</c:v>
                </c:pt>
                <c:pt idx="7">
                  <c:v>6.5</c:v>
                </c:pt>
                <c:pt idx="8">
                  <c:v>7</c:v>
                </c:pt>
                <c:pt idx="9">
                  <c:v>6.5</c:v>
                </c:pt>
              </c:numCache>
            </c:numRef>
          </c:yVal>
          <c:smooth val="0"/>
        </c:ser>
        <c:ser>
          <c:idx val="2"/>
          <c:order val="1"/>
          <c:tx>
            <c:strRef>
              <c:f>pH!$J$1</c:f>
              <c:strCache>
                <c:ptCount val="1"/>
                <c:pt idx="0">
                  <c:v>0 g/L Glc</c:v>
                </c:pt>
              </c:strCache>
            </c:strRef>
          </c:tx>
          <c:marker>
            <c:symbol val="none"/>
          </c:marker>
          <c:xVal>
            <c:numRef>
              <c:f>pH!$C$3:$C$13</c:f>
              <c:numCache>
                <c:formatCode>0.00</c:formatCode>
                <c:ptCount val="11"/>
                <c:pt idx="0">
                  <c:v>0</c:v>
                </c:pt>
                <c:pt idx="1">
                  <c:v>23.958333333333332</c:v>
                </c:pt>
                <c:pt idx="2">
                  <c:v>23.979166666666664</c:v>
                </c:pt>
                <c:pt idx="3">
                  <c:v>48</c:v>
                </c:pt>
                <c:pt idx="4">
                  <c:v>48.020833333333329</c:v>
                </c:pt>
                <c:pt idx="5">
                  <c:v>71.979166666666657</c:v>
                </c:pt>
                <c:pt idx="6">
                  <c:v>72.1875</c:v>
                </c:pt>
                <c:pt idx="7">
                  <c:v>95.979166666666657</c:v>
                </c:pt>
                <c:pt idx="8">
                  <c:v>96.208333333333343</c:v>
                </c:pt>
                <c:pt idx="9">
                  <c:v>120.20833333333333</c:v>
                </c:pt>
              </c:numCache>
            </c:numRef>
          </c:xVal>
          <c:yVal>
            <c:numRef>
              <c:f>pH!$J$3:$J$13</c:f>
              <c:numCache>
                <c:formatCode>General</c:formatCode>
                <c:ptCount val="11"/>
                <c:pt idx="0">
                  <c:v>7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7</c:v>
                </c:pt>
                <c:pt idx="9">
                  <c:v>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529664"/>
        <c:axId val="56531584"/>
      </c:scatterChart>
      <c:valAx>
        <c:axId val="56529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Hours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56531584"/>
        <c:crosses val="autoZero"/>
        <c:crossBetween val="midCat"/>
      </c:valAx>
      <c:valAx>
        <c:axId val="565315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pH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652966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'Summary OD'!$D$111</c:f>
              <c:strCache>
                <c:ptCount val="1"/>
                <c:pt idx="0">
                  <c:v>10 g/L Glc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'Summary OD'!$P$112:$P$117</c:f>
                <c:numCache>
                  <c:formatCode>General</c:formatCode>
                  <c:ptCount val="6"/>
                  <c:pt idx="0">
                    <c:v>1.6566429566395171E-2</c:v>
                  </c:pt>
                  <c:pt idx="1">
                    <c:v>1.5443455087976263E-2</c:v>
                  </c:pt>
                  <c:pt idx="2">
                    <c:v>5.890213313436541E-2</c:v>
                  </c:pt>
                  <c:pt idx="3">
                    <c:v>2.7697259444983167E-2</c:v>
                  </c:pt>
                  <c:pt idx="4">
                    <c:v>7.0356179764207355E-2</c:v>
                  </c:pt>
                  <c:pt idx="5">
                    <c:v>5.3262875685986893E-2</c:v>
                  </c:pt>
                </c:numCache>
              </c:numRef>
            </c:plus>
            <c:minus>
              <c:numRef>
                <c:f>'Summary OD'!$P$112:$P$117</c:f>
                <c:numCache>
                  <c:formatCode>General</c:formatCode>
                  <c:ptCount val="6"/>
                  <c:pt idx="0">
                    <c:v>1.6566429566395171E-2</c:v>
                  </c:pt>
                  <c:pt idx="1">
                    <c:v>1.5443455087976263E-2</c:v>
                  </c:pt>
                  <c:pt idx="2">
                    <c:v>5.890213313436541E-2</c:v>
                  </c:pt>
                  <c:pt idx="3">
                    <c:v>2.7697259444983167E-2</c:v>
                  </c:pt>
                  <c:pt idx="4">
                    <c:v>7.0356179764207355E-2</c:v>
                  </c:pt>
                  <c:pt idx="5">
                    <c:v>5.3262875685986893E-2</c:v>
                  </c:pt>
                </c:numCache>
              </c:numRef>
            </c:minus>
          </c:errBars>
          <c:xVal>
            <c:numRef>
              <c:f>'Summary OD'!$C$112:$C$117</c:f>
              <c:numCache>
                <c:formatCode>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OD'!$D$112:$D$117</c:f>
              <c:numCache>
                <c:formatCode>General</c:formatCode>
                <c:ptCount val="6"/>
                <c:pt idx="0">
                  <c:v>7.935366666666667E-2</c:v>
                </c:pt>
                <c:pt idx="1">
                  <c:v>0.31120698666666663</c:v>
                </c:pt>
                <c:pt idx="2">
                  <c:v>0.39998008000000002</c:v>
                </c:pt>
                <c:pt idx="3">
                  <c:v>0.42117341333333336</c:v>
                </c:pt>
                <c:pt idx="4">
                  <c:v>0.43031351999999989</c:v>
                </c:pt>
                <c:pt idx="5">
                  <c:v>0.40951322666666673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'Summary OD'!$E$111</c:f>
              <c:strCache>
                <c:ptCount val="1"/>
                <c:pt idx="0">
                  <c:v>0 g/L Glc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'Summary OD'!$Q$112:$Q$117</c:f>
                <c:numCache>
                  <c:formatCode>General</c:formatCode>
                  <c:ptCount val="6"/>
                  <c:pt idx="0">
                    <c:v>6.0583953590106149E-3</c:v>
                  </c:pt>
                  <c:pt idx="1">
                    <c:v>2.9866133821945702E-3</c:v>
                  </c:pt>
                  <c:pt idx="2">
                    <c:v>7.7178549030193404E-3</c:v>
                  </c:pt>
                  <c:pt idx="3">
                    <c:v>4.2371918053539567E-3</c:v>
                  </c:pt>
                  <c:pt idx="4">
                    <c:v>5.917833823772191E-3</c:v>
                  </c:pt>
                  <c:pt idx="5">
                    <c:v>3.9229059239509851E-3</c:v>
                  </c:pt>
                </c:numCache>
              </c:numRef>
            </c:plus>
            <c:minus>
              <c:numRef>
                <c:f>'Summary OD'!$Q$112:$Q$117</c:f>
                <c:numCache>
                  <c:formatCode>General</c:formatCode>
                  <c:ptCount val="6"/>
                  <c:pt idx="0">
                    <c:v>6.0583953590106149E-3</c:v>
                  </c:pt>
                  <c:pt idx="1">
                    <c:v>2.9866133821945702E-3</c:v>
                  </c:pt>
                  <c:pt idx="2">
                    <c:v>7.7178549030193404E-3</c:v>
                  </c:pt>
                  <c:pt idx="3">
                    <c:v>4.2371918053539567E-3</c:v>
                  </c:pt>
                  <c:pt idx="4">
                    <c:v>5.917833823772191E-3</c:v>
                  </c:pt>
                  <c:pt idx="5">
                    <c:v>3.9229059239509851E-3</c:v>
                  </c:pt>
                </c:numCache>
              </c:numRef>
            </c:minus>
          </c:errBars>
          <c:xVal>
            <c:numRef>
              <c:f>'Summary OD'!$C$112:$C$117</c:f>
              <c:numCache>
                <c:formatCode>0</c:formatCode>
                <c:ptCount val="6"/>
                <c:pt idx="0">
                  <c:v>0</c:v>
                </c:pt>
                <c:pt idx="1">
                  <c:v>24</c:v>
                </c:pt>
                <c:pt idx="2">
                  <c:v>48.020833333333329</c:v>
                </c:pt>
                <c:pt idx="3">
                  <c:v>72</c:v>
                </c:pt>
                <c:pt idx="4">
                  <c:v>96</c:v>
                </c:pt>
                <c:pt idx="5">
                  <c:v>119.97916666666667</c:v>
                </c:pt>
              </c:numCache>
            </c:numRef>
          </c:xVal>
          <c:yVal>
            <c:numRef>
              <c:f>'Summary OD'!$E$112:$E$117</c:f>
              <c:numCache>
                <c:formatCode>General</c:formatCode>
                <c:ptCount val="6"/>
                <c:pt idx="0">
                  <c:v>7.7676758333333318E-2</c:v>
                </c:pt>
                <c:pt idx="1">
                  <c:v>8.0463199999999985E-2</c:v>
                </c:pt>
                <c:pt idx="2">
                  <c:v>8.45272861111111E-2</c:v>
                </c:pt>
                <c:pt idx="3">
                  <c:v>8.9179761111111103E-2</c:v>
                </c:pt>
                <c:pt idx="4">
                  <c:v>9.4378597222222207E-2</c:v>
                </c:pt>
                <c:pt idx="5">
                  <c:v>9.9375699999999997E-2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722944"/>
        <c:axId val="56724864"/>
      </c:scatterChart>
      <c:valAx>
        <c:axId val="56722944"/>
        <c:scaling>
          <c:orientation val="minMax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Hour</a:t>
                </a:r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crossAx val="56724864"/>
        <c:crosses val="autoZero"/>
        <c:crossBetween val="midCat"/>
      </c:valAx>
      <c:valAx>
        <c:axId val="567248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 DW/ L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5672294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Glucose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'HPLC Summary'!$O$3</c:f>
              <c:strCache>
                <c:ptCount val="1"/>
                <c:pt idx="0">
                  <c:v>Control</c:v>
                </c:pt>
              </c:strCache>
            </c:strRef>
          </c:tx>
          <c:marker>
            <c:symbol val="none"/>
          </c:marker>
          <c:xVal>
            <c:numRef>
              <c:f>'HPLC Summary'!$A$4:$A$9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Summary'!$O$4:$O$9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'HPLC Summary'!$P$3</c:f>
              <c:strCache>
                <c:ptCount val="1"/>
                <c:pt idx="0">
                  <c:v>Thi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'HPLC Summary'!$U$4:$U$9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'HPLC Summary'!$U$4:$U$9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</c:errBars>
          <c:xVal>
            <c:numRef>
              <c:f>'HPLC Summary'!$A$4:$A$9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Summary'!$P$4:$P$9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'HPLC Summary'!$Q$3</c:f>
              <c:strCache>
                <c:ptCount val="1"/>
                <c:pt idx="0">
                  <c:v>Pant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'HPLC Summary'!$V$4:$V$9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'HPLC Summary'!$V$4:$V$9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</c:errBars>
          <c:xVal>
            <c:numRef>
              <c:f>'HPLC Summary'!$A$4:$A$9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Summary'!$Q$4:$Q$9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'HPLC Summary'!$R$3</c:f>
              <c:strCache>
                <c:ptCount val="1"/>
                <c:pt idx="0">
                  <c:v>Thi+Pant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'HPLC Summary'!$W$4:$W$9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'HPLC Summary'!$W$4:$W$9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</c:errBars>
          <c:xVal>
            <c:numRef>
              <c:f>'HPLC Summary'!$A$4:$A$9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Summary'!$R$4:$R$9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631296"/>
        <c:axId val="56633216"/>
      </c:scatterChart>
      <c:valAx>
        <c:axId val="56631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6633216"/>
        <c:crosses val="autoZero"/>
        <c:crossBetween val="midCat"/>
      </c:valAx>
      <c:valAx>
        <c:axId val="566332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g/ L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663129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Succinate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'HPLC Summary'!$O$21</c:f>
              <c:strCache>
                <c:ptCount val="1"/>
                <c:pt idx="0">
                  <c:v>Control</c:v>
                </c:pt>
              </c:strCache>
            </c:strRef>
          </c:tx>
          <c:marker>
            <c:symbol val="none"/>
          </c:marker>
          <c:xVal>
            <c:numRef>
              <c:f>'HPLC Summary'!$A$22:$A$27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Summary'!$O$22:$O$27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'HPLC Summary'!$P$21</c:f>
              <c:strCache>
                <c:ptCount val="1"/>
                <c:pt idx="0">
                  <c:v>Thi</c:v>
                </c:pt>
              </c:strCache>
            </c:strRef>
          </c:tx>
          <c:marker>
            <c:symbol val="none"/>
          </c:marker>
          <c:xVal>
            <c:numRef>
              <c:f>'HPLC Summary'!$A$22:$A$27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Summary'!$P$22:$P$27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'HPLC Summary'!$Q$21</c:f>
              <c:strCache>
                <c:ptCount val="1"/>
                <c:pt idx="0">
                  <c:v>Pant</c:v>
                </c:pt>
              </c:strCache>
            </c:strRef>
          </c:tx>
          <c:marker>
            <c:symbol val="none"/>
          </c:marker>
          <c:xVal>
            <c:numRef>
              <c:f>'HPLC Summary'!$A$22:$A$27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Summary'!$Q$22:$Q$27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'HPLC Summary'!$R$21</c:f>
              <c:strCache>
                <c:ptCount val="1"/>
                <c:pt idx="0">
                  <c:v>Thi+Pant</c:v>
                </c:pt>
              </c:strCache>
            </c:strRef>
          </c:tx>
          <c:marker>
            <c:symbol val="none"/>
          </c:marker>
          <c:xVal>
            <c:numRef>
              <c:f>'HPLC Summary'!$A$22:$A$27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Summary'!$R$22:$R$27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660736"/>
        <c:axId val="56662656"/>
      </c:scatterChart>
      <c:valAx>
        <c:axId val="56660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6662656"/>
        <c:crosses val="autoZero"/>
        <c:crossBetween val="midCat"/>
      </c:valAx>
      <c:valAx>
        <c:axId val="5666265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g/ L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666073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Pyruvate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'HPLC Summary'!$O$12</c:f>
              <c:strCache>
                <c:ptCount val="1"/>
                <c:pt idx="0">
                  <c:v>Control</c:v>
                </c:pt>
              </c:strCache>
            </c:strRef>
          </c:tx>
          <c:marker>
            <c:symbol val="none"/>
          </c:marker>
          <c:xVal>
            <c:numRef>
              <c:f>'HPLC Summary'!$A$13:$A$18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Summary'!$O$13:$O$18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'HPLC Summary'!$P$12</c:f>
              <c:strCache>
                <c:ptCount val="1"/>
                <c:pt idx="0">
                  <c:v>Thi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'HPLC Summary'!$U$13:$U$18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'HPLC Summary'!$U$13:$U$18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</c:errBars>
          <c:xVal>
            <c:numRef>
              <c:f>'HPLC Summary'!$A$13:$A$18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Summary'!$P$13:$P$18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'HPLC Summary'!$Q$12</c:f>
              <c:strCache>
                <c:ptCount val="1"/>
                <c:pt idx="0">
                  <c:v>Pant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'HPLC Summary'!$V$13:$V$18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'HPLC Summary'!$V$13:$V$18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</c:errBars>
          <c:xVal>
            <c:numRef>
              <c:f>'HPLC Summary'!$A$13:$A$18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Summary'!$Q$13:$Q$18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'HPLC Summary'!$R$12</c:f>
              <c:strCache>
                <c:ptCount val="1"/>
                <c:pt idx="0">
                  <c:v>Thi+Pant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'HPLC Summary'!$W$13:$W$18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'HPLC Summary'!$W$13:$W$18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</c:errBars>
          <c:xVal>
            <c:numRef>
              <c:f>'HPLC Summary'!$A$13:$A$18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Summary'!$R$13:$R$18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609152"/>
        <c:axId val="92738304"/>
      </c:scatterChart>
      <c:valAx>
        <c:axId val="92609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2738304"/>
        <c:crosses val="autoZero"/>
        <c:crossBetween val="midCat"/>
      </c:valAx>
      <c:valAx>
        <c:axId val="927383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g/ L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260915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B vitamin HPLC results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'HPLC Summary'!$Y$4</c:f>
              <c:strCache>
                <c:ptCount val="1"/>
                <c:pt idx="0">
                  <c:v>Glucose consumed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'HPLC Summary'!$AR$4:$AU$4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</c:numCache>
              </c:numRef>
            </c:plus>
            <c:minus>
              <c:numRef>
                <c:f>'HPLC Summary'!$AR$4:$AU$4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</c:numCache>
              </c:numRef>
            </c:minus>
          </c:errBars>
          <c:cat>
            <c:strRef>
              <c:f>'HPLC Summary'!$Z$3:$AC$3</c:f>
              <c:strCache>
                <c:ptCount val="4"/>
                <c:pt idx="0">
                  <c:v>Control</c:v>
                </c:pt>
                <c:pt idx="1">
                  <c:v>Thi</c:v>
                </c:pt>
                <c:pt idx="2">
                  <c:v>Pant</c:v>
                </c:pt>
                <c:pt idx="3">
                  <c:v>Thi+Pant</c:v>
                </c:pt>
              </c:strCache>
            </c:strRef>
          </c:cat>
          <c:val>
            <c:numRef>
              <c:f>'HPLC Summary'!$Z$4:$AC$4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tx>
            <c:strRef>
              <c:f>'HPLC Summary'!$Y$5</c:f>
              <c:strCache>
                <c:ptCount val="1"/>
                <c:pt idx="0">
                  <c:v>Pyruvate secreted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'HPLC Summary'!$AR$5:$AU$5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</c:numCache>
              </c:numRef>
            </c:plus>
            <c:minus>
              <c:numRef>
                <c:f>'HPLC Summary'!$AR$5:$AU$5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</c:numCache>
              </c:numRef>
            </c:minus>
          </c:errBars>
          <c:cat>
            <c:strRef>
              <c:f>'HPLC Summary'!$Z$3:$AC$3</c:f>
              <c:strCache>
                <c:ptCount val="4"/>
                <c:pt idx="0">
                  <c:v>Control</c:v>
                </c:pt>
                <c:pt idx="1">
                  <c:v>Thi</c:v>
                </c:pt>
                <c:pt idx="2">
                  <c:v>Pant</c:v>
                </c:pt>
                <c:pt idx="3">
                  <c:v>Thi+Pant</c:v>
                </c:pt>
              </c:strCache>
            </c:strRef>
          </c:cat>
          <c:val>
            <c:numRef>
              <c:f>'HPLC Summary'!$Z$5:$AC$5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2768896"/>
        <c:axId val="92774784"/>
      </c:barChart>
      <c:catAx>
        <c:axId val="92768896"/>
        <c:scaling>
          <c:orientation val="minMax"/>
        </c:scaling>
        <c:delete val="0"/>
        <c:axPos val="b"/>
        <c:majorTickMark val="out"/>
        <c:minorTickMark val="none"/>
        <c:tickLblPos val="nextTo"/>
        <c:crossAx val="92774784"/>
        <c:crosses val="autoZero"/>
        <c:auto val="1"/>
        <c:lblAlgn val="ctr"/>
        <c:lblOffset val="100"/>
        <c:noMultiLvlLbl val="0"/>
      </c:catAx>
      <c:valAx>
        <c:axId val="927747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g/ L in media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27688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Fumarate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'HPLC Summary'!$O$21</c:f>
              <c:strCache>
                <c:ptCount val="1"/>
                <c:pt idx="0">
                  <c:v>Control</c:v>
                </c:pt>
              </c:strCache>
            </c:strRef>
          </c:tx>
          <c:marker>
            <c:symbol val="none"/>
          </c:marker>
          <c:xVal>
            <c:numRef>
              <c:f>'HPLC Summary'!$A$31:$A$36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Summary'!$O$31:$O$36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'HPLC Summary'!$P$21</c:f>
              <c:strCache>
                <c:ptCount val="1"/>
                <c:pt idx="0">
                  <c:v>Thi</c:v>
                </c:pt>
              </c:strCache>
            </c:strRef>
          </c:tx>
          <c:marker>
            <c:symbol val="none"/>
          </c:marker>
          <c:xVal>
            <c:numRef>
              <c:f>'HPLC Summary'!$A$31:$A$36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Summary'!$P$31:$P$36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'HPLC Summary'!$Q$21</c:f>
              <c:strCache>
                <c:ptCount val="1"/>
                <c:pt idx="0">
                  <c:v>Pant</c:v>
                </c:pt>
              </c:strCache>
            </c:strRef>
          </c:tx>
          <c:marker>
            <c:symbol val="none"/>
          </c:marker>
          <c:xVal>
            <c:numRef>
              <c:f>'HPLC Summary'!$A$31:$A$36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Summary'!$Q$31:$Q$36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'HPLC Summary'!$R$21</c:f>
              <c:strCache>
                <c:ptCount val="1"/>
                <c:pt idx="0">
                  <c:v>Thi+Pant</c:v>
                </c:pt>
              </c:strCache>
            </c:strRef>
          </c:tx>
          <c:marker>
            <c:symbol val="none"/>
          </c:marker>
          <c:xVal>
            <c:numRef>
              <c:f>'HPLC Summary'!$A$31:$A$36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'HPLC Summary'!$R$31:$R$36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176768"/>
        <c:axId val="118183040"/>
      </c:scatterChart>
      <c:valAx>
        <c:axId val="118176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18183040"/>
        <c:crosses val="autoZero"/>
        <c:crossBetween val="midCat"/>
      </c:valAx>
      <c:valAx>
        <c:axId val="1181830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g/ L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1817676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4" Type="http://schemas.openxmlformats.org/officeDocument/2006/relationships/chart" Target="../charts/chart10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180975</xdr:colOff>
      <xdr:row>12</xdr:row>
      <xdr:rowOff>71436</xdr:rowOff>
    </xdr:from>
    <xdr:to>
      <xdr:col>22</xdr:col>
      <xdr:colOff>485775</xdr:colOff>
      <xdr:row>33</xdr:row>
      <xdr:rowOff>104775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495300</xdr:colOff>
      <xdr:row>20</xdr:row>
      <xdr:rowOff>90486</xdr:rowOff>
    </xdr:from>
    <xdr:to>
      <xdr:col>10</xdr:col>
      <xdr:colOff>457200</xdr:colOff>
      <xdr:row>48</xdr:row>
      <xdr:rowOff>38100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485775</xdr:colOff>
      <xdr:row>62</xdr:row>
      <xdr:rowOff>109537</xdr:rowOff>
    </xdr:from>
    <xdr:to>
      <xdr:col>8</xdr:col>
      <xdr:colOff>85725</xdr:colOff>
      <xdr:row>79</xdr:row>
      <xdr:rowOff>100012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514348</xdr:colOff>
      <xdr:row>65</xdr:row>
      <xdr:rowOff>52387</xdr:rowOff>
    </xdr:from>
    <xdr:to>
      <xdr:col>32</xdr:col>
      <xdr:colOff>590549</xdr:colOff>
      <xdr:row>82</xdr:row>
      <xdr:rowOff>42862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466725</xdr:colOff>
      <xdr:row>118</xdr:row>
      <xdr:rowOff>147637</xdr:rowOff>
    </xdr:from>
    <xdr:to>
      <xdr:col>12</xdr:col>
      <xdr:colOff>314325</xdr:colOff>
      <xdr:row>141</xdr:row>
      <xdr:rowOff>114300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466725</xdr:colOff>
      <xdr:row>183</xdr:row>
      <xdr:rowOff>42862</xdr:rowOff>
    </xdr:from>
    <xdr:to>
      <xdr:col>15</xdr:col>
      <xdr:colOff>161925</xdr:colOff>
      <xdr:row>200</xdr:row>
      <xdr:rowOff>33337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180975</xdr:colOff>
      <xdr:row>18</xdr:row>
      <xdr:rowOff>119062</xdr:rowOff>
    </xdr:from>
    <xdr:to>
      <xdr:col>22</xdr:col>
      <xdr:colOff>485775</xdr:colOff>
      <xdr:row>34</xdr:row>
      <xdr:rowOff>4762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123824</xdr:colOff>
      <xdr:row>58</xdr:row>
      <xdr:rowOff>109536</xdr:rowOff>
    </xdr:from>
    <xdr:to>
      <xdr:col>25</xdr:col>
      <xdr:colOff>352425</xdr:colOff>
      <xdr:row>77</xdr:row>
      <xdr:rowOff>152400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247650</xdr:colOff>
      <xdr:row>88</xdr:row>
      <xdr:rowOff>176212</xdr:rowOff>
    </xdr:from>
    <xdr:to>
      <xdr:col>10</xdr:col>
      <xdr:colOff>552450</xdr:colOff>
      <xdr:row>103</xdr:row>
      <xdr:rowOff>61912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200025</xdr:colOff>
      <xdr:row>88</xdr:row>
      <xdr:rowOff>90487</xdr:rowOff>
    </xdr:from>
    <xdr:to>
      <xdr:col>19</xdr:col>
      <xdr:colOff>504825</xdr:colOff>
      <xdr:row>102</xdr:row>
      <xdr:rowOff>166687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14</xdr:row>
      <xdr:rowOff>23812</xdr:rowOff>
    </xdr:from>
    <xdr:to>
      <xdr:col>14</xdr:col>
      <xdr:colOff>76200</xdr:colOff>
      <xdr:row>28</xdr:row>
      <xdr:rowOff>100012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15</xdr:row>
      <xdr:rowOff>0</xdr:rowOff>
    </xdr:from>
    <xdr:to>
      <xdr:col>16</xdr:col>
      <xdr:colOff>546100</xdr:colOff>
      <xdr:row>34</xdr:row>
      <xdr:rowOff>93663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514350</xdr:colOff>
      <xdr:row>36</xdr:row>
      <xdr:rowOff>71437</xdr:rowOff>
    </xdr:from>
    <xdr:to>
      <xdr:col>21</xdr:col>
      <xdr:colOff>209550</xdr:colOff>
      <xdr:row>50</xdr:row>
      <xdr:rowOff>147637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247650</xdr:colOff>
      <xdr:row>35</xdr:row>
      <xdr:rowOff>176212</xdr:rowOff>
    </xdr:from>
    <xdr:to>
      <xdr:col>28</xdr:col>
      <xdr:colOff>533400</xdr:colOff>
      <xdr:row>50</xdr:row>
      <xdr:rowOff>61912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514350</xdr:colOff>
      <xdr:row>49</xdr:row>
      <xdr:rowOff>14287</xdr:rowOff>
    </xdr:from>
    <xdr:to>
      <xdr:col>21</xdr:col>
      <xdr:colOff>228600</xdr:colOff>
      <xdr:row>63</xdr:row>
      <xdr:rowOff>90487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123825</xdr:colOff>
      <xdr:row>9</xdr:row>
      <xdr:rowOff>23812</xdr:rowOff>
    </xdr:from>
    <xdr:to>
      <xdr:col>31</xdr:col>
      <xdr:colOff>428625</xdr:colOff>
      <xdr:row>23</xdr:row>
      <xdr:rowOff>100012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21</xdr:col>
      <xdr:colOff>228600</xdr:colOff>
      <xdr:row>49</xdr:row>
      <xdr:rowOff>0</xdr:rowOff>
    </xdr:from>
    <xdr:to>
      <xdr:col>28</xdr:col>
      <xdr:colOff>514350</xdr:colOff>
      <xdr:row>63</xdr:row>
      <xdr:rowOff>76200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K67"/>
  <sheetViews>
    <sheetView topLeftCell="A3" workbookViewId="0">
      <selection activeCell="K14" sqref="K14"/>
    </sheetView>
  </sheetViews>
  <sheetFormatPr defaultColWidth="8.85546875" defaultRowHeight="15" x14ac:dyDescent="0.25"/>
  <cols>
    <col min="1" max="1" width="18.42578125" customWidth="1"/>
  </cols>
  <sheetData>
    <row r="1" spans="1:9" x14ac:dyDescent="0.25">
      <c r="A1" t="s">
        <v>33</v>
      </c>
    </row>
    <row r="3" spans="1:9" x14ac:dyDescent="0.25">
      <c r="A3" t="s">
        <v>32</v>
      </c>
    </row>
    <row r="4" spans="1:9" x14ac:dyDescent="0.25">
      <c r="A4" t="s">
        <v>199</v>
      </c>
    </row>
    <row r="5" spans="1:9" x14ac:dyDescent="0.25">
      <c r="A5" s="6"/>
    </row>
    <row r="6" spans="1:9" x14ac:dyDescent="0.25">
      <c r="A6" s="6">
        <v>41744</v>
      </c>
      <c r="B6" t="s">
        <v>35</v>
      </c>
      <c r="E6" t="s">
        <v>36</v>
      </c>
      <c r="H6" t="s">
        <v>66</v>
      </c>
    </row>
    <row r="7" spans="1:9" x14ac:dyDescent="0.25">
      <c r="A7" t="s">
        <v>22</v>
      </c>
      <c r="B7" s="7">
        <v>800</v>
      </c>
      <c r="E7" s="7">
        <v>800</v>
      </c>
      <c r="H7" s="7">
        <v>750</v>
      </c>
    </row>
    <row r="9" spans="1:9" x14ac:dyDescent="0.25">
      <c r="A9" t="s">
        <v>23</v>
      </c>
      <c r="B9" s="7">
        <v>16</v>
      </c>
      <c r="C9" s="7">
        <v>25</v>
      </c>
      <c r="E9" s="7">
        <v>15</v>
      </c>
      <c r="F9" s="7">
        <v>18</v>
      </c>
      <c r="H9" s="7">
        <v>18</v>
      </c>
      <c r="I9" s="7">
        <v>18</v>
      </c>
    </row>
    <row r="10" spans="1:9" x14ac:dyDescent="0.25">
      <c r="B10" s="7">
        <v>16</v>
      </c>
      <c r="C10" s="7">
        <v>12</v>
      </c>
      <c r="E10" s="7">
        <v>15</v>
      </c>
      <c r="F10" s="7">
        <v>15</v>
      </c>
      <c r="H10" s="7">
        <v>12</v>
      </c>
      <c r="I10" s="7">
        <v>20</v>
      </c>
    </row>
    <row r="11" spans="1:9" x14ac:dyDescent="0.25">
      <c r="E11" s="8"/>
      <c r="F11" s="8"/>
    </row>
    <row r="12" spans="1:9" x14ac:dyDescent="0.25">
      <c r="B12" s="7">
        <v>24</v>
      </c>
      <c r="C12" s="7">
        <v>23</v>
      </c>
      <c r="E12" s="7">
        <v>11</v>
      </c>
      <c r="F12" s="7">
        <v>23</v>
      </c>
      <c r="H12" s="7">
        <v>12</v>
      </c>
      <c r="I12" s="7">
        <v>23</v>
      </c>
    </row>
    <row r="13" spans="1:9" x14ac:dyDescent="0.25">
      <c r="B13" s="7">
        <v>19</v>
      </c>
      <c r="C13" s="7">
        <v>16</v>
      </c>
      <c r="E13" s="7">
        <v>25</v>
      </c>
      <c r="F13" s="7">
        <v>15</v>
      </c>
      <c r="H13" s="7">
        <v>17</v>
      </c>
      <c r="I13" s="7">
        <v>21</v>
      </c>
    </row>
    <row r="15" spans="1:9" x14ac:dyDescent="0.25">
      <c r="A15" t="s">
        <v>24</v>
      </c>
      <c r="B15">
        <f>AVERAGE(B9:C13)</f>
        <v>18.875</v>
      </c>
      <c r="E15" s="4">
        <f>AVERAGE(E9:F13)</f>
        <v>17.125</v>
      </c>
      <c r="H15" s="4">
        <f>AVERAGE(H9:I13)</f>
        <v>17.625</v>
      </c>
    </row>
    <row r="16" spans="1:9" x14ac:dyDescent="0.25">
      <c r="A16" t="s">
        <v>25</v>
      </c>
      <c r="B16">
        <f>STDEV(B9:C13)</f>
        <v>4.6732521560777904</v>
      </c>
      <c r="E16" s="4">
        <f>STDEV(E9:F13)</f>
        <v>4.6732521560777904</v>
      </c>
      <c r="H16" s="4">
        <f>STDEV(H9:I13)</f>
        <v>3.9618718519695424</v>
      </c>
    </row>
    <row r="17" spans="1:11" x14ac:dyDescent="0.25">
      <c r="E17" s="4"/>
      <c r="H17" s="4"/>
    </row>
    <row r="18" spans="1:11" x14ac:dyDescent="0.25">
      <c r="A18" s="4" t="s">
        <v>1</v>
      </c>
      <c r="B18">
        <v>100</v>
      </c>
      <c r="E18" s="4">
        <v>100</v>
      </c>
      <c r="H18" s="4">
        <v>100</v>
      </c>
    </row>
    <row r="19" spans="1:11" x14ac:dyDescent="0.25">
      <c r="A19" s="4" t="s">
        <v>2</v>
      </c>
      <c r="B19">
        <f>B18/10^6</f>
        <v>1E-4</v>
      </c>
      <c r="E19" s="4">
        <f>E18/10^6</f>
        <v>1E-4</v>
      </c>
      <c r="H19" s="4">
        <f>H18/10^6</f>
        <v>1E-4</v>
      </c>
    </row>
    <row r="20" spans="1:11" x14ac:dyDescent="0.25">
      <c r="A20" s="4" t="s">
        <v>3</v>
      </c>
      <c r="B20">
        <f>B15/B19</f>
        <v>188750</v>
      </c>
      <c r="E20" s="4">
        <f>E15/E19</f>
        <v>171250</v>
      </c>
      <c r="H20" s="4">
        <f>H15/H19</f>
        <v>176250</v>
      </c>
    </row>
    <row r="21" spans="1:11" x14ac:dyDescent="0.25">
      <c r="A21" s="4" t="s">
        <v>4</v>
      </c>
      <c r="B21" s="7">
        <v>40</v>
      </c>
      <c r="E21" s="7">
        <v>40</v>
      </c>
      <c r="H21" s="7">
        <v>40</v>
      </c>
    </row>
    <row r="22" spans="1:11" x14ac:dyDescent="0.25">
      <c r="A22" s="4" t="s">
        <v>5</v>
      </c>
      <c r="B22" s="1">
        <f>B20*B21</f>
        <v>7550000</v>
      </c>
      <c r="E22" s="1">
        <f>E20*E21</f>
        <v>6850000</v>
      </c>
      <c r="H22" s="1">
        <f>H20*H21</f>
        <v>7050000</v>
      </c>
    </row>
    <row r="23" spans="1:11" x14ac:dyDescent="0.25">
      <c r="A23" t="s">
        <v>26</v>
      </c>
      <c r="B23" s="1">
        <f>B7*B22</f>
        <v>6040000000</v>
      </c>
      <c r="E23" s="1">
        <f>E7*E22</f>
        <v>5480000000</v>
      </c>
      <c r="H23" s="1">
        <f>H7*H22</f>
        <v>5287500000</v>
      </c>
      <c r="J23" s="1"/>
      <c r="K23" s="1"/>
    </row>
    <row r="25" spans="1:11" x14ac:dyDescent="0.25">
      <c r="A25" t="s">
        <v>27</v>
      </c>
    </row>
    <row r="26" spans="1:11" x14ac:dyDescent="0.25">
      <c r="A26" t="s">
        <v>28</v>
      </c>
      <c r="B26" s="1">
        <v>2400</v>
      </c>
      <c r="E26" s="2"/>
    </row>
    <row r="27" spans="1:11" x14ac:dyDescent="0.25">
      <c r="A27" t="s">
        <v>26</v>
      </c>
      <c r="B27" s="1">
        <f>B26*10^7</f>
        <v>24000000000</v>
      </c>
      <c r="E27" s="1"/>
    </row>
    <row r="29" spans="1:11" x14ac:dyDescent="0.25">
      <c r="A29" s="6"/>
    </row>
    <row r="30" spans="1:11" x14ac:dyDescent="0.25">
      <c r="A30" s="4" t="s">
        <v>22</v>
      </c>
      <c r="B30" s="7"/>
      <c r="C30" s="4"/>
      <c r="D30" s="4"/>
      <c r="E30" s="7"/>
      <c r="F30" s="4"/>
      <c r="G30" s="4"/>
      <c r="H30" s="7"/>
      <c r="I30" s="4"/>
    </row>
    <row r="31" spans="1:11" x14ac:dyDescent="0.25">
      <c r="A31" s="4"/>
      <c r="B31" s="4"/>
      <c r="C31" s="4"/>
      <c r="D31" s="4"/>
      <c r="E31" s="4"/>
      <c r="F31" s="4"/>
      <c r="G31" s="4"/>
      <c r="H31" s="4"/>
      <c r="I31" s="4"/>
    </row>
    <row r="32" spans="1:11" x14ac:dyDescent="0.25">
      <c r="A32" s="4" t="s">
        <v>23</v>
      </c>
      <c r="B32" s="7"/>
      <c r="C32" s="7"/>
      <c r="D32" s="4"/>
      <c r="E32" s="7"/>
      <c r="F32" s="7"/>
      <c r="G32" s="4"/>
      <c r="H32" s="7"/>
      <c r="I32" s="7"/>
    </row>
    <row r="33" spans="1:11" x14ac:dyDescent="0.25">
      <c r="A33" s="4"/>
      <c r="B33" s="7"/>
      <c r="C33" s="7"/>
      <c r="D33" s="4"/>
      <c r="E33" s="7"/>
      <c r="F33" s="7"/>
      <c r="G33" s="4"/>
      <c r="H33" s="7"/>
      <c r="I33" s="7"/>
    </row>
    <row r="34" spans="1:11" x14ac:dyDescent="0.25">
      <c r="A34" s="4"/>
      <c r="B34" s="4"/>
      <c r="C34" s="4"/>
      <c r="D34" s="4"/>
      <c r="E34" s="8"/>
      <c r="F34" s="8"/>
      <c r="G34" s="4"/>
      <c r="H34" s="4"/>
      <c r="I34" s="4"/>
    </row>
    <row r="35" spans="1:11" x14ac:dyDescent="0.25">
      <c r="A35" s="4"/>
      <c r="B35" s="7"/>
      <c r="C35" s="7"/>
      <c r="D35" s="4"/>
      <c r="E35" s="7"/>
      <c r="F35" s="7"/>
      <c r="G35" s="4"/>
      <c r="H35" s="7"/>
      <c r="I35" s="7"/>
    </row>
    <row r="36" spans="1:11" x14ac:dyDescent="0.25">
      <c r="A36" s="4"/>
      <c r="B36" s="7"/>
      <c r="C36" s="7"/>
      <c r="D36" s="4"/>
      <c r="E36" s="7"/>
      <c r="F36" s="7"/>
      <c r="G36" s="4"/>
      <c r="H36" s="7"/>
      <c r="I36" s="7"/>
    </row>
    <row r="37" spans="1:11" x14ac:dyDescent="0.25">
      <c r="A37" s="4"/>
      <c r="B37" s="4"/>
      <c r="C37" s="4"/>
      <c r="D37" s="4"/>
      <c r="E37" s="4"/>
      <c r="F37" s="4"/>
      <c r="G37" s="4"/>
      <c r="H37" s="4"/>
      <c r="I37" s="4"/>
    </row>
    <row r="38" spans="1:11" x14ac:dyDescent="0.25">
      <c r="A38" s="4" t="s">
        <v>24</v>
      </c>
      <c r="B38" s="4" t="e">
        <f>AVERAGE(B32:C36)</f>
        <v>#DIV/0!</v>
      </c>
      <c r="C38" s="4"/>
      <c r="D38" s="4"/>
      <c r="E38" s="4" t="e">
        <f>AVERAGE(E32:F36)</f>
        <v>#DIV/0!</v>
      </c>
      <c r="F38" s="4"/>
      <c r="G38" s="4"/>
      <c r="H38" s="4" t="e">
        <f>AVERAGE(H32:I36)</f>
        <v>#DIV/0!</v>
      </c>
      <c r="I38" s="4"/>
    </row>
    <row r="39" spans="1:11" x14ac:dyDescent="0.25">
      <c r="A39" s="4" t="s">
        <v>25</v>
      </c>
      <c r="B39" s="4" t="e">
        <f>STDEV(B32:C36)</f>
        <v>#DIV/0!</v>
      </c>
      <c r="C39" s="4"/>
      <c r="D39" s="4"/>
      <c r="E39" s="4" t="e">
        <f>STDEV(E32:F36)</f>
        <v>#DIV/0!</v>
      </c>
      <c r="F39" s="4"/>
      <c r="G39" s="4"/>
      <c r="H39" s="4" t="e">
        <f>STDEV(H32:I36)</f>
        <v>#DIV/0!</v>
      </c>
      <c r="I39" s="4"/>
    </row>
    <row r="40" spans="1:11" x14ac:dyDescent="0.25">
      <c r="A40" s="4"/>
      <c r="B40" s="4"/>
      <c r="C40" s="4"/>
      <c r="D40" s="4"/>
      <c r="E40" s="4"/>
      <c r="F40" s="4"/>
      <c r="G40" s="4"/>
      <c r="H40" s="4"/>
      <c r="I40" s="4"/>
    </row>
    <row r="41" spans="1:11" x14ac:dyDescent="0.25">
      <c r="A41" s="4" t="s">
        <v>1</v>
      </c>
      <c r="B41" s="4">
        <v>100</v>
      </c>
      <c r="C41" s="4"/>
      <c r="D41" s="4"/>
      <c r="E41" s="4">
        <v>100</v>
      </c>
      <c r="F41" s="4"/>
      <c r="G41" s="4"/>
      <c r="H41" s="4">
        <v>100</v>
      </c>
      <c r="I41" s="4"/>
    </row>
    <row r="42" spans="1:11" x14ac:dyDescent="0.25">
      <c r="A42" s="4" t="s">
        <v>2</v>
      </c>
      <c r="B42" s="4">
        <f>B41/10^6</f>
        <v>1E-4</v>
      </c>
      <c r="C42" s="4"/>
      <c r="D42" s="4"/>
      <c r="E42" s="4">
        <f>E41/10^6</f>
        <v>1E-4</v>
      </c>
      <c r="F42" s="4"/>
      <c r="G42" s="4"/>
      <c r="H42" s="4">
        <f>H41/10^6</f>
        <v>1E-4</v>
      </c>
      <c r="I42" s="4"/>
    </row>
    <row r="43" spans="1:11" x14ac:dyDescent="0.25">
      <c r="A43" s="4" t="s">
        <v>3</v>
      </c>
      <c r="B43" s="4" t="e">
        <f>B38/B42</f>
        <v>#DIV/0!</v>
      </c>
      <c r="C43" s="4"/>
      <c r="D43" s="4"/>
      <c r="E43" s="4" t="e">
        <f>E38/E42</f>
        <v>#DIV/0!</v>
      </c>
      <c r="F43" s="4"/>
      <c r="G43" s="4"/>
      <c r="H43" s="4" t="e">
        <f>H38/H42</f>
        <v>#DIV/0!</v>
      </c>
      <c r="I43" s="4"/>
    </row>
    <row r="44" spans="1:11" x14ac:dyDescent="0.25">
      <c r="A44" s="4" t="s">
        <v>4</v>
      </c>
      <c r="B44" s="7">
        <v>40</v>
      </c>
      <c r="C44" s="4"/>
      <c r="D44" s="4"/>
      <c r="E44" s="7">
        <v>20</v>
      </c>
      <c r="F44" s="4"/>
      <c r="G44" s="4"/>
      <c r="H44" s="7">
        <v>20</v>
      </c>
      <c r="I44" s="4"/>
    </row>
    <row r="45" spans="1:11" x14ac:dyDescent="0.25">
      <c r="A45" s="4" t="s">
        <v>5</v>
      </c>
      <c r="B45" s="1" t="e">
        <f>B43*B44</f>
        <v>#DIV/0!</v>
      </c>
      <c r="C45" s="4"/>
      <c r="D45" s="4"/>
      <c r="E45" s="1" t="e">
        <f>E43*E44</f>
        <v>#DIV/0!</v>
      </c>
      <c r="F45" s="4"/>
      <c r="G45" s="4"/>
      <c r="H45" s="1" t="e">
        <f>H43*H44</f>
        <v>#DIV/0!</v>
      </c>
      <c r="I45" s="4"/>
    </row>
    <row r="46" spans="1:11" x14ac:dyDescent="0.25">
      <c r="A46" s="4" t="s">
        <v>26</v>
      </c>
      <c r="B46" s="1" t="e">
        <f>B30*B45</f>
        <v>#DIV/0!</v>
      </c>
      <c r="C46" s="4"/>
      <c r="D46" s="4"/>
      <c r="E46" s="1" t="e">
        <f>E30*E45</f>
        <v>#DIV/0!</v>
      </c>
      <c r="F46" s="4"/>
      <c r="G46" s="4"/>
      <c r="H46" s="1" t="e">
        <f>H30*H45</f>
        <v>#DIV/0!</v>
      </c>
      <c r="I46" s="4"/>
      <c r="K46" s="1" t="e">
        <f>SUM(B46:H46)/2400</f>
        <v>#DIV/0!</v>
      </c>
    </row>
    <row r="47" spans="1:11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11" x14ac:dyDescent="0.25">
      <c r="A48" s="4" t="s">
        <v>27</v>
      </c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 t="s">
        <v>28</v>
      </c>
      <c r="B49" s="1"/>
      <c r="C49" s="4"/>
      <c r="D49" s="4"/>
      <c r="E49" s="2"/>
      <c r="F49" s="4"/>
      <c r="G49" s="4"/>
      <c r="H49" s="4"/>
      <c r="I49" s="4"/>
    </row>
    <row r="50" spans="1:9" x14ac:dyDescent="0.25">
      <c r="A50" s="4" t="s">
        <v>26</v>
      </c>
      <c r="B50" s="1"/>
      <c r="C50" s="4"/>
      <c r="D50" s="4"/>
      <c r="E50" s="1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</row>
    <row r="52" spans="1:9" x14ac:dyDescent="0.25">
      <c r="A52" s="4"/>
      <c r="B52" s="4"/>
      <c r="C52" s="4"/>
      <c r="D52" s="4"/>
      <c r="E52" s="4"/>
      <c r="F52" s="4"/>
    </row>
    <row r="53" spans="1:9" x14ac:dyDescent="0.25">
      <c r="A53" s="4"/>
      <c r="B53" s="4"/>
      <c r="C53" s="4"/>
      <c r="D53" s="4"/>
      <c r="E53" s="4"/>
      <c r="F53" s="4"/>
    </row>
    <row r="54" spans="1:9" x14ac:dyDescent="0.25">
      <c r="A54" s="4"/>
      <c r="B54" s="4"/>
      <c r="C54" s="4"/>
      <c r="D54" s="4"/>
      <c r="E54" s="4"/>
      <c r="F54" s="4"/>
    </row>
    <row r="55" spans="1:9" x14ac:dyDescent="0.25">
      <c r="A55" s="4"/>
      <c r="B55" s="4"/>
      <c r="C55" s="4"/>
      <c r="D55" s="4"/>
      <c r="E55" s="4"/>
      <c r="F55" s="4"/>
    </row>
    <row r="56" spans="1:9" x14ac:dyDescent="0.25">
      <c r="A56" s="4"/>
      <c r="B56" s="4"/>
      <c r="C56" s="4"/>
      <c r="D56" s="4"/>
      <c r="E56" s="4"/>
      <c r="F56" s="4"/>
    </row>
    <row r="57" spans="1:9" x14ac:dyDescent="0.25">
      <c r="A57" s="4"/>
      <c r="B57" s="4"/>
      <c r="C57" s="4"/>
      <c r="D57" s="4"/>
      <c r="E57" s="4"/>
      <c r="F57" s="4"/>
    </row>
    <row r="58" spans="1:9" x14ac:dyDescent="0.25">
      <c r="A58" s="4"/>
      <c r="B58" s="4"/>
      <c r="C58" s="4"/>
      <c r="D58" s="4"/>
      <c r="E58" s="4"/>
      <c r="F58" s="4"/>
    </row>
    <row r="59" spans="1:9" x14ac:dyDescent="0.25">
      <c r="A59" s="4"/>
      <c r="B59" s="4"/>
      <c r="C59" s="4"/>
      <c r="D59" s="4"/>
      <c r="E59" s="4"/>
      <c r="F59" s="4"/>
    </row>
    <row r="60" spans="1:9" x14ac:dyDescent="0.25">
      <c r="A60" s="4"/>
      <c r="B60" s="4"/>
      <c r="C60" s="4"/>
      <c r="D60" s="4"/>
      <c r="E60" s="4"/>
      <c r="F60" s="4"/>
    </row>
    <row r="61" spans="1:9" x14ac:dyDescent="0.25">
      <c r="A61" s="4"/>
      <c r="B61" s="4"/>
      <c r="C61" s="4"/>
      <c r="D61" s="4"/>
      <c r="E61" s="4"/>
      <c r="F61" s="4"/>
    </row>
    <row r="62" spans="1:9" x14ac:dyDescent="0.25">
      <c r="A62" s="4"/>
      <c r="B62" s="4"/>
      <c r="C62" s="4"/>
      <c r="D62" s="4"/>
      <c r="E62" s="4"/>
      <c r="F62" s="4"/>
    </row>
    <row r="63" spans="1:9" x14ac:dyDescent="0.25">
      <c r="A63" s="4"/>
      <c r="B63" s="4"/>
      <c r="C63" s="4"/>
      <c r="D63" s="4"/>
      <c r="E63" s="4"/>
      <c r="F63" s="4"/>
    </row>
    <row r="64" spans="1:9" x14ac:dyDescent="0.25">
      <c r="A64" s="4"/>
      <c r="B64" s="1"/>
      <c r="C64" s="4"/>
      <c r="D64" s="4"/>
      <c r="E64" s="1"/>
      <c r="F64" s="4"/>
    </row>
    <row r="65" spans="1:6" x14ac:dyDescent="0.25">
      <c r="A65" s="4"/>
      <c r="B65" s="1"/>
      <c r="C65" s="4"/>
      <c r="D65" s="4"/>
      <c r="E65" s="1"/>
      <c r="F65" s="4"/>
    </row>
    <row r="67" spans="1:6" x14ac:dyDescent="0.25">
      <c r="B67" s="1"/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J28"/>
  <sheetViews>
    <sheetView topLeftCell="A11" workbookViewId="0">
      <selection activeCell="H29" sqref="H29"/>
    </sheetView>
  </sheetViews>
  <sheetFormatPr defaultColWidth="8.85546875" defaultRowHeight="15" x14ac:dyDescent="0.25"/>
  <cols>
    <col min="1" max="1" width="23.28515625" customWidth="1"/>
    <col min="2" max="2" width="13.7109375" bestFit="1" customWidth="1"/>
    <col min="12" max="12" width="9.7109375" bestFit="1" customWidth="1"/>
    <col min="13" max="13" width="11" bestFit="1" customWidth="1"/>
  </cols>
  <sheetData>
    <row r="1" spans="1:7" x14ac:dyDescent="0.25">
      <c r="A1" t="s">
        <v>0</v>
      </c>
    </row>
    <row r="2" spans="1:7" x14ac:dyDescent="0.25">
      <c r="A2" t="s">
        <v>34</v>
      </c>
    </row>
    <row r="3" spans="1:7" s="3" customFormat="1" x14ac:dyDescent="0.25"/>
    <row r="4" spans="1:7" s="3" customFormat="1" x14ac:dyDescent="0.25">
      <c r="A4" s="5" t="s">
        <v>6</v>
      </c>
      <c r="B4" s="4"/>
      <c r="C4" s="4"/>
    </row>
    <row r="5" spans="1:7" s="3" customFormat="1" x14ac:dyDescent="0.25">
      <c r="A5" s="4"/>
      <c r="B5" s="4"/>
      <c r="C5" s="4"/>
    </row>
    <row r="6" spans="1:7" x14ac:dyDescent="0.25">
      <c r="A6" s="4" t="s">
        <v>7</v>
      </c>
      <c r="B6" s="7">
        <v>0.97499999999999998</v>
      </c>
    </row>
    <row r="7" spans="1:7" s="4" customFormat="1" x14ac:dyDescent="0.25">
      <c r="A7" s="4" t="s">
        <v>11</v>
      </c>
      <c r="B7" s="7">
        <v>0.76400000000000001</v>
      </c>
    </row>
    <row r="8" spans="1:7" s="4" customFormat="1" x14ac:dyDescent="0.25">
      <c r="A8" s="4" t="s">
        <v>21</v>
      </c>
      <c r="B8" s="7">
        <f>B7/(18+35.5)*14*1000</f>
        <v>199.92523364485982</v>
      </c>
    </row>
    <row r="9" spans="1:7" s="4" customFormat="1" x14ac:dyDescent="0.25">
      <c r="B9" s="8"/>
      <c r="F9" s="4">
        <f>2600+1400</f>
        <v>4000</v>
      </c>
      <c r="G9" s="4">
        <f>F9-2400</f>
        <v>1600</v>
      </c>
    </row>
    <row r="10" spans="1:7" s="4" customFormat="1" x14ac:dyDescent="0.25">
      <c r="A10" s="4" t="s">
        <v>8</v>
      </c>
      <c r="B10" s="7">
        <v>7.2</v>
      </c>
      <c r="F10" s="4">
        <f>F9/2</f>
        <v>2000</v>
      </c>
      <c r="G10" s="4">
        <f>G9/4</f>
        <v>400</v>
      </c>
    </row>
    <row r="11" spans="1:7" s="4" customFormat="1" x14ac:dyDescent="0.25">
      <c r="A11" s="4" t="s">
        <v>9</v>
      </c>
      <c r="B11" s="7">
        <v>2600</v>
      </c>
      <c r="G11" s="4">
        <f>G10-120-20</f>
        <v>260</v>
      </c>
    </row>
    <row r="12" spans="1:7" s="4" customFormat="1" x14ac:dyDescent="0.25">
      <c r="A12" s="4" t="s">
        <v>10</v>
      </c>
      <c r="B12" s="7">
        <v>2400</v>
      </c>
      <c r="G12" s="4">
        <f>G11-40</f>
        <v>220</v>
      </c>
    </row>
    <row r="13" spans="1:7" s="4" customFormat="1" x14ac:dyDescent="0.25">
      <c r="B13" s="8"/>
    </row>
    <row r="14" spans="1:7" s="4" customFormat="1" x14ac:dyDescent="0.25">
      <c r="A14" s="4" t="s">
        <v>201</v>
      </c>
      <c r="B14" s="8"/>
    </row>
    <row r="15" spans="1:7" s="4" customFormat="1" x14ac:dyDescent="0.25">
      <c r="A15" s="4" t="s">
        <v>202</v>
      </c>
      <c r="B15" s="7"/>
    </row>
    <row r="16" spans="1:7" s="4" customFormat="1" x14ac:dyDescent="0.25"/>
    <row r="18" spans="1:10" x14ac:dyDescent="0.25">
      <c r="A18" t="s">
        <v>126</v>
      </c>
      <c r="B18" s="7"/>
      <c r="C18" s="7"/>
      <c r="D18" s="7"/>
      <c r="E18" s="7"/>
      <c r="F18" s="7"/>
      <c r="G18" s="7"/>
      <c r="H18">
        <v>14</v>
      </c>
      <c r="J18" t="s">
        <v>127</v>
      </c>
    </row>
    <row r="19" spans="1:10" x14ac:dyDescent="0.25">
      <c r="A19" s="5" t="s">
        <v>16</v>
      </c>
      <c r="B19" t="s">
        <v>17</v>
      </c>
      <c r="C19" t="s">
        <v>18</v>
      </c>
      <c r="D19" t="s">
        <v>20</v>
      </c>
      <c r="E19" t="s">
        <v>19</v>
      </c>
      <c r="F19" t="s">
        <v>68</v>
      </c>
    </row>
    <row r="20" spans="1:10" x14ac:dyDescent="0.25">
      <c r="A20" t="s">
        <v>203</v>
      </c>
      <c r="B20" s="7">
        <f>H18/C20*1000</f>
        <v>200</v>
      </c>
      <c r="C20" s="7">
        <v>70</v>
      </c>
      <c r="D20" s="4">
        <f>H18</f>
        <v>14</v>
      </c>
      <c r="E20" s="7">
        <f>F20*200/1000/B20*1000</f>
        <v>10</v>
      </c>
      <c r="F20" s="17">
        <v>10</v>
      </c>
    </row>
    <row r="21" spans="1:10" x14ac:dyDescent="0.25">
      <c r="A21" s="4"/>
      <c r="B21" s="7"/>
      <c r="C21" s="7"/>
      <c r="D21" s="4"/>
      <c r="E21" s="7"/>
      <c r="F21" s="17"/>
    </row>
    <row r="22" spans="1:10" x14ac:dyDescent="0.25">
      <c r="A22" s="4" t="s">
        <v>204</v>
      </c>
      <c r="B22" s="7"/>
      <c r="C22" s="7"/>
      <c r="D22" s="4"/>
      <c r="E22" s="7">
        <f>E20*12</f>
        <v>120</v>
      </c>
      <c r="F22" s="17"/>
    </row>
    <row r="24" spans="1:10" x14ac:dyDescent="0.25">
      <c r="A24" s="5" t="s">
        <v>69</v>
      </c>
      <c r="B24" t="s">
        <v>70</v>
      </c>
      <c r="C24" t="s">
        <v>72</v>
      </c>
      <c r="D24" t="s">
        <v>73</v>
      </c>
      <c r="E24" t="s">
        <v>71</v>
      </c>
      <c r="F24" t="s">
        <v>74</v>
      </c>
    </row>
    <row r="25" spans="1:10" x14ac:dyDescent="0.25">
      <c r="A25" t="s">
        <v>200</v>
      </c>
      <c r="E25" s="17"/>
      <c r="F25" s="17"/>
    </row>
    <row r="28" spans="1:10" x14ac:dyDescent="0.25">
      <c r="D28" s="4"/>
      <c r="F28" s="4"/>
      <c r="G28" s="4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2:H28"/>
  <sheetViews>
    <sheetView workbookViewId="0">
      <selection activeCell="C11" sqref="C11"/>
    </sheetView>
  </sheetViews>
  <sheetFormatPr defaultColWidth="8.85546875" defaultRowHeight="15" x14ac:dyDescent="0.25"/>
  <cols>
    <col min="1" max="1" width="22.42578125" bestFit="1" customWidth="1"/>
    <col min="2" max="2" width="12.140625" bestFit="1" customWidth="1"/>
    <col min="3" max="3" width="22.42578125" customWidth="1"/>
    <col min="4" max="4" width="9" customWidth="1"/>
    <col min="5" max="5" width="12.28515625" bestFit="1" customWidth="1"/>
    <col min="7" max="7" width="15.42578125" bestFit="1" customWidth="1"/>
    <col min="8" max="8" width="19" bestFit="1" customWidth="1"/>
  </cols>
  <sheetData>
    <row r="2" spans="2:8" x14ac:dyDescent="0.25">
      <c r="B2" s="36"/>
    </row>
    <row r="3" spans="2:8" ht="30" x14ac:dyDescent="0.25">
      <c r="B3" s="37" t="s">
        <v>12</v>
      </c>
      <c r="C3" s="35" t="s">
        <v>219</v>
      </c>
      <c r="D3" s="35" t="s">
        <v>220</v>
      </c>
      <c r="E3" s="35" t="s">
        <v>207</v>
      </c>
      <c r="F3" s="35" t="s">
        <v>221</v>
      </c>
      <c r="G3" s="4"/>
      <c r="H3" s="4"/>
    </row>
    <row r="4" spans="2:8" x14ac:dyDescent="0.25">
      <c r="B4" s="37">
        <v>41745</v>
      </c>
      <c r="C4" s="35" t="s">
        <v>222</v>
      </c>
      <c r="D4" s="35" t="s">
        <v>223</v>
      </c>
      <c r="E4" s="35"/>
      <c r="F4" s="35" t="s">
        <v>226</v>
      </c>
      <c r="G4" s="4"/>
      <c r="H4" s="4"/>
    </row>
    <row r="5" spans="2:8" x14ac:dyDescent="0.25">
      <c r="B5" s="37">
        <v>41746</v>
      </c>
      <c r="C5" s="35" t="s">
        <v>222</v>
      </c>
      <c r="D5" s="35" t="s">
        <v>223</v>
      </c>
      <c r="E5" s="35"/>
      <c r="F5" s="35" t="s">
        <v>226</v>
      </c>
      <c r="G5" s="4"/>
    </row>
    <row r="6" spans="2:8" x14ac:dyDescent="0.25">
      <c r="B6" s="37">
        <v>41747</v>
      </c>
      <c r="C6" s="35" t="s">
        <v>222</v>
      </c>
      <c r="D6" s="35"/>
      <c r="E6" s="35" t="s">
        <v>224</v>
      </c>
      <c r="F6" s="35" t="s">
        <v>226</v>
      </c>
      <c r="G6" s="4"/>
    </row>
    <row r="7" spans="2:8" x14ac:dyDescent="0.25">
      <c r="B7" s="37">
        <v>41748</v>
      </c>
      <c r="C7" s="35" t="s">
        <v>222</v>
      </c>
      <c r="D7" s="35" t="s">
        <v>223</v>
      </c>
      <c r="E7" s="35"/>
      <c r="F7" s="35" t="s">
        <v>226</v>
      </c>
      <c r="G7" s="4"/>
    </row>
    <row r="8" spans="2:8" x14ac:dyDescent="0.25">
      <c r="B8" s="37">
        <v>41749</v>
      </c>
      <c r="C8" s="35" t="s">
        <v>222</v>
      </c>
      <c r="D8" s="35"/>
      <c r="E8" s="35"/>
      <c r="F8" s="35" t="s">
        <v>226</v>
      </c>
      <c r="G8" s="4"/>
    </row>
    <row r="9" spans="2:8" x14ac:dyDescent="0.25">
      <c r="B9" s="37">
        <v>41750</v>
      </c>
      <c r="C9" s="35" t="s">
        <v>222</v>
      </c>
      <c r="D9" s="35"/>
      <c r="E9" s="35" t="s">
        <v>225</v>
      </c>
      <c r="F9" s="35" t="s">
        <v>226</v>
      </c>
      <c r="G9" s="4"/>
    </row>
    <row r="10" spans="2:8" s="4" customFormat="1" x14ac:dyDescent="0.25">
      <c r="B10" s="36"/>
    </row>
    <row r="11" spans="2:8" s="4" customFormat="1" x14ac:dyDescent="0.25">
      <c r="B11" s="6"/>
    </row>
    <row r="12" spans="2:8" x14ac:dyDescent="0.25">
      <c r="B12" s="6"/>
      <c r="G12" s="4"/>
    </row>
    <row r="13" spans="2:8" x14ac:dyDescent="0.25">
      <c r="B13" s="6"/>
      <c r="G13" s="4"/>
    </row>
    <row r="14" spans="2:8" x14ac:dyDescent="0.25">
      <c r="B14" s="6"/>
    </row>
    <row r="15" spans="2:8" x14ac:dyDescent="0.25">
      <c r="B15" s="6"/>
    </row>
    <row r="16" spans="2:8" s="4" customFormat="1" x14ac:dyDescent="0.25">
      <c r="B16" s="6"/>
    </row>
    <row r="19" spans="1:2" x14ac:dyDescent="0.25">
      <c r="A19" s="4"/>
    </row>
    <row r="20" spans="1:2" x14ac:dyDescent="0.25">
      <c r="A20" s="4"/>
      <c r="B20" s="4"/>
    </row>
    <row r="21" spans="1:2" x14ac:dyDescent="0.25">
      <c r="A21" s="4"/>
      <c r="B21" s="4"/>
    </row>
    <row r="22" spans="1:2" x14ac:dyDescent="0.25">
      <c r="A22" s="4"/>
      <c r="B22" s="4"/>
    </row>
    <row r="23" spans="1:2" x14ac:dyDescent="0.25">
      <c r="A23" s="4"/>
      <c r="B23" s="4"/>
    </row>
    <row r="28" spans="1:2" s="4" customFormat="1" x14ac:dyDescent="0.25"/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/>
  <dimension ref="A3:AB189"/>
  <sheetViews>
    <sheetView topLeftCell="A118" zoomScale="125" zoomScaleNormal="125" zoomScalePageLayoutView="125" workbookViewId="0">
      <selection activeCell="J111" sqref="J111:K117"/>
    </sheetView>
  </sheetViews>
  <sheetFormatPr defaultColWidth="8.85546875" defaultRowHeight="12.75" x14ac:dyDescent="0.2"/>
  <cols>
    <col min="1" max="1" width="9.42578125" style="9" bestFit="1" customWidth="1"/>
    <col min="2" max="2" width="10.42578125" style="9" bestFit="1" customWidth="1"/>
    <col min="3" max="6" width="8.85546875" style="9"/>
    <col min="7" max="7" width="9.42578125" style="9" bestFit="1" customWidth="1"/>
    <col min="8" max="17" width="8.85546875" style="9"/>
    <col min="18" max="18" width="10" style="9" bestFit="1" customWidth="1"/>
    <col min="19" max="257" width="8.85546875" style="9"/>
    <col min="258" max="258" width="10.42578125" style="9" bestFit="1" customWidth="1"/>
    <col min="259" max="513" width="8.85546875" style="9"/>
    <col min="514" max="514" width="10.42578125" style="9" bestFit="1" customWidth="1"/>
    <col min="515" max="769" width="8.85546875" style="9"/>
    <col min="770" max="770" width="10.42578125" style="9" bestFit="1" customWidth="1"/>
    <col min="771" max="1025" width="8.85546875" style="9"/>
    <col min="1026" max="1026" width="10.42578125" style="9" bestFit="1" customWidth="1"/>
    <col min="1027" max="1281" width="8.85546875" style="9"/>
    <col min="1282" max="1282" width="10.42578125" style="9" bestFit="1" customWidth="1"/>
    <col min="1283" max="1537" width="8.85546875" style="9"/>
    <col min="1538" max="1538" width="10.42578125" style="9" bestFit="1" customWidth="1"/>
    <col min="1539" max="1793" width="8.85546875" style="9"/>
    <col min="1794" max="1794" width="10.42578125" style="9" bestFit="1" customWidth="1"/>
    <col min="1795" max="2049" width="8.85546875" style="9"/>
    <col min="2050" max="2050" width="10.42578125" style="9" bestFit="1" customWidth="1"/>
    <col min="2051" max="2305" width="8.85546875" style="9"/>
    <col min="2306" max="2306" width="10.42578125" style="9" bestFit="1" customWidth="1"/>
    <col min="2307" max="2561" width="8.85546875" style="9"/>
    <col min="2562" max="2562" width="10.42578125" style="9" bestFit="1" customWidth="1"/>
    <col min="2563" max="2817" width="8.85546875" style="9"/>
    <col min="2818" max="2818" width="10.42578125" style="9" bestFit="1" customWidth="1"/>
    <col min="2819" max="3073" width="8.85546875" style="9"/>
    <col min="3074" max="3074" width="10.42578125" style="9" bestFit="1" customWidth="1"/>
    <col min="3075" max="3329" width="8.85546875" style="9"/>
    <col min="3330" max="3330" width="10.42578125" style="9" bestFit="1" customWidth="1"/>
    <col min="3331" max="3585" width="8.85546875" style="9"/>
    <col min="3586" max="3586" width="10.42578125" style="9" bestFit="1" customWidth="1"/>
    <col min="3587" max="3841" width="8.85546875" style="9"/>
    <col min="3842" max="3842" width="10.42578125" style="9" bestFit="1" customWidth="1"/>
    <col min="3843" max="4097" width="8.85546875" style="9"/>
    <col min="4098" max="4098" width="10.42578125" style="9" bestFit="1" customWidth="1"/>
    <col min="4099" max="4353" width="8.85546875" style="9"/>
    <col min="4354" max="4354" width="10.42578125" style="9" bestFit="1" customWidth="1"/>
    <col min="4355" max="4609" width="8.85546875" style="9"/>
    <col min="4610" max="4610" width="10.42578125" style="9" bestFit="1" customWidth="1"/>
    <col min="4611" max="4865" width="8.85546875" style="9"/>
    <col min="4866" max="4866" width="10.42578125" style="9" bestFit="1" customWidth="1"/>
    <col min="4867" max="5121" width="8.85546875" style="9"/>
    <col min="5122" max="5122" width="10.42578125" style="9" bestFit="1" customWidth="1"/>
    <col min="5123" max="5377" width="8.85546875" style="9"/>
    <col min="5378" max="5378" width="10.42578125" style="9" bestFit="1" customWidth="1"/>
    <col min="5379" max="5633" width="8.85546875" style="9"/>
    <col min="5634" max="5634" width="10.42578125" style="9" bestFit="1" customWidth="1"/>
    <col min="5635" max="5889" width="8.85546875" style="9"/>
    <col min="5890" max="5890" width="10.42578125" style="9" bestFit="1" customWidth="1"/>
    <col min="5891" max="6145" width="8.85546875" style="9"/>
    <col min="6146" max="6146" width="10.42578125" style="9" bestFit="1" customWidth="1"/>
    <col min="6147" max="6401" width="8.85546875" style="9"/>
    <col min="6402" max="6402" width="10.42578125" style="9" bestFit="1" customWidth="1"/>
    <col min="6403" max="6657" width="8.85546875" style="9"/>
    <col min="6658" max="6658" width="10.42578125" style="9" bestFit="1" customWidth="1"/>
    <col min="6659" max="6913" width="8.85546875" style="9"/>
    <col min="6914" max="6914" width="10.42578125" style="9" bestFit="1" customWidth="1"/>
    <col min="6915" max="7169" width="8.85546875" style="9"/>
    <col min="7170" max="7170" width="10.42578125" style="9" bestFit="1" customWidth="1"/>
    <col min="7171" max="7425" width="8.85546875" style="9"/>
    <col min="7426" max="7426" width="10.42578125" style="9" bestFit="1" customWidth="1"/>
    <col min="7427" max="7681" width="8.85546875" style="9"/>
    <col min="7682" max="7682" width="10.42578125" style="9" bestFit="1" customWidth="1"/>
    <col min="7683" max="7937" width="8.85546875" style="9"/>
    <col min="7938" max="7938" width="10.42578125" style="9" bestFit="1" customWidth="1"/>
    <col min="7939" max="8193" width="8.85546875" style="9"/>
    <col min="8194" max="8194" width="10.42578125" style="9" bestFit="1" customWidth="1"/>
    <col min="8195" max="8449" width="8.85546875" style="9"/>
    <col min="8450" max="8450" width="10.42578125" style="9" bestFit="1" customWidth="1"/>
    <col min="8451" max="8705" width="8.85546875" style="9"/>
    <col min="8706" max="8706" width="10.42578125" style="9" bestFit="1" customWidth="1"/>
    <col min="8707" max="8961" width="8.85546875" style="9"/>
    <col min="8962" max="8962" width="10.42578125" style="9" bestFit="1" customWidth="1"/>
    <col min="8963" max="9217" width="8.85546875" style="9"/>
    <col min="9218" max="9218" width="10.42578125" style="9" bestFit="1" customWidth="1"/>
    <col min="9219" max="9473" width="8.85546875" style="9"/>
    <col min="9474" max="9474" width="10.42578125" style="9" bestFit="1" customWidth="1"/>
    <col min="9475" max="9729" width="8.85546875" style="9"/>
    <col min="9730" max="9730" width="10.42578125" style="9" bestFit="1" customWidth="1"/>
    <col min="9731" max="9985" width="8.85546875" style="9"/>
    <col min="9986" max="9986" width="10.42578125" style="9" bestFit="1" customWidth="1"/>
    <col min="9987" max="10241" width="8.85546875" style="9"/>
    <col min="10242" max="10242" width="10.42578125" style="9" bestFit="1" customWidth="1"/>
    <col min="10243" max="10497" width="8.85546875" style="9"/>
    <col min="10498" max="10498" width="10.42578125" style="9" bestFit="1" customWidth="1"/>
    <col min="10499" max="10753" width="8.85546875" style="9"/>
    <col min="10754" max="10754" width="10.42578125" style="9" bestFit="1" customWidth="1"/>
    <col min="10755" max="11009" width="8.85546875" style="9"/>
    <col min="11010" max="11010" width="10.42578125" style="9" bestFit="1" customWidth="1"/>
    <col min="11011" max="11265" width="8.85546875" style="9"/>
    <col min="11266" max="11266" width="10.42578125" style="9" bestFit="1" customWidth="1"/>
    <col min="11267" max="11521" width="8.85546875" style="9"/>
    <col min="11522" max="11522" width="10.42578125" style="9" bestFit="1" customWidth="1"/>
    <col min="11523" max="11777" width="8.85546875" style="9"/>
    <col min="11778" max="11778" width="10.42578125" style="9" bestFit="1" customWidth="1"/>
    <col min="11779" max="12033" width="8.85546875" style="9"/>
    <col min="12034" max="12034" width="10.42578125" style="9" bestFit="1" customWidth="1"/>
    <col min="12035" max="12289" width="8.85546875" style="9"/>
    <col min="12290" max="12290" width="10.42578125" style="9" bestFit="1" customWidth="1"/>
    <col min="12291" max="12545" width="8.85546875" style="9"/>
    <col min="12546" max="12546" width="10.42578125" style="9" bestFit="1" customWidth="1"/>
    <col min="12547" max="12801" width="8.85546875" style="9"/>
    <col min="12802" max="12802" width="10.42578125" style="9" bestFit="1" customWidth="1"/>
    <col min="12803" max="13057" width="8.85546875" style="9"/>
    <col min="13058" max="13058" width="10.42578125" style="9" bestFit="1" customWidth="1"/>
    <col min="13059" max="13313" width="8.85546875" style="9"/>
    <col min="13314" max="13314" width="10.42578125" style="9" bestFit="1" customWidth="1"/>
    <col min="13315" max="13569" width="8.85546875" style="9"/>
    <col min="13570" max="13570" width="10.42578125" style="9" bestFit="1" customWidth="1"/>
    <col min="13571" max="13825" width="8.85546875" style="9"/>
    <col min="13826" max="13826" width="10.42578125" style="9" bestFit="1" customWidth="1"/>
    <col min="13827" max="14081" width="8.85546875" style="9"/>
    <col min="14082" max="14082" width="10.42578125" style="9" bestFit="1" customWidth="1"/>
    <col min="14083" max="14337" width="8.85546875" style="9"/>
    <col min="14338" max="14338" width="10.42578125" style="9" bestFit="1" customWidth="1"/>
    <col min="14339" max="14593" width="8.85546875" style="9"/>
    <col min="14594" max="14594" width="10.42578125" style="9" bestFit="1" customWidth="1"/>
    <col min="14595" max="14849" width="8.85546875" style="9"/>
    <col min="14850" max="14850" width="10.42578125" style="9" bestFit="1" customWidth="1"/>
    <col min="14851" max="15105" width="8.85546875" style="9"/>
    <col min="15106" max="15106" width="10.42578125" style="9" bestFit="1" customWidth="1"/>
    <col min="15107" max="15361" width="8.85546875" style="9"/>
    <col min="15362" max="15362" width="10.42578125" style="9" bestFit="1" customWidth="1"/>
    <col min="15363" max="15617" width="8.85546875" style="9"/>
    <col min="15618" max="15618" width="10.42578125" style="9" bestFit="1" customWidth="1"/>
    <col min="15619" max="15873" width="8.85546875" style="9"/>
    <col min="15874" max="15874" width="10.42578125" style="9" bestFit="1" customWidth="1"/>
    <col min="15875" max="16129" width="8.85546875" style="9"/>
    <col min="16130" max="16130" width="10.42578125" style="9" bestFit="1" customWidth="1"/>
    <col min="16131" max="16384" width="8.85546875" style="9"/>
  </cols>
  <sheetData>
    <row r="3" spans="1:28" x14ac:dyDescent="0.2">
      <c r="D3" s="9" t="s">
        <v>14</v>
      </c>
      <c r="Q3" s="9" t="s">
        <v>15</v>
      </c>
    </row>
    <row r="4" spans="1:28" x14ac:dyDescent="0.2">
      <c r="A4" s="9" t="s">
        <v>12</v>
      </c>
      <c r="B4" s="9" t="s">
        <v>13</v>
      </c>
      <c r="C4" s="9" t="s">
        <v>37</v>
      </c>
      <c r="D4" s="9" t="s">
        <v>38</v>
      </c>
      <c r="E4" s="9" t="s">
        <v>39</v>
      </c>
      <c r="F4" s="9" t="s">
        <v>40</v>
      </c>
      <c r="G4" s="9" t="s">
        <v>41</v>
      </c>
      <c r="H4" s="9" t="s">
        <v>42</v>
      </c>
      <c r="I4" s="9" t="s">
        <v>43</v>
      </c>
      <c r="J4" s="9" t="s">
        <v>44</v>
      </c>
      <c r="K4" s="9" t="s">
        <v>45</v>
      </c>
      <c r="L4" s="9" t="s">
        <v>46</v>
      </c>
      <c r="M4" s="9" t="s">
        <v>47</v>
      </c>
      <c r="N4" s="9" t="s">
        <v>48</v>
      </c>
      <c r="O4" s="9" t="s">
        <v>49</v>
      </c>
      <c r="Q4" s="9" t="s">
        <v>38</v>
      </c>
      <c r="R4" s="9" t="s">
        <v>39</v>
      </c>
      <c r="S4" s="9" t="s">
        <v>40</v>
      </c>
      <c r="T4" s="9" t="s">
        <v>41</v>
      </c>
      <c r="U4" s="9" t="s">
        <v>42</v>
      </c>
      <c r="V4" s="9" t="s">
        <v>43</v>
      </c>
      <c r="W4" s="9" t="s">
        <v>44</v>
      </c>
      <c r="X4" s="9" t="s">
        <v>45</v>
      </c>
      <c r="Y4" s="9" t="s">
        <v>46</v>
      </c>
      <c r="Z4" s="9" t="s">
        <v>47</v>
      </c>
      <c r="AA4" s="9" t="s">
        <v>48</v>
      </c>
      <c r="AB4" s="9" t="s">
        <v>49</v>
      </c>
    </row>
    <row r="5" spans="1:28" x14ac:dyDescent="0.2">
      <c r="A5" s="13">
        <v>41661</v>
      </c>
      <c r="B5" s="14">
        <f>OD!A5</f>
        <v>0.4375</v>
      </c>
      <c r="C5" s="11">
        <v>0</v>
      </c>
      <c r="D5" s="15">
        <f>OD!C8</f>
        <v>0.14796666666666666</v>
      </c>
      <c r="E5" s="15">
        <f>OD!D8</f>
        <v>0.13003333333333333</v>
      </c>
      <c r="F5" s="15">
        <f>OD!E8</f>
        <v>0.12793333333333334</v>
      </c>
      <c r="G5" s="15">
        <f>OD!F8</f>
        <v>0.13089999999999999</v>
      </c>
      <c r="H5" s="15">
        <f>OD!G8</f>
        <v>0.12156666666666667</v>
      </c>
      <c r="I5" s="15">
        <f>OD!H8</f>
        <v>0.12960000000000002</v>
      </c>
      <c r="J5" s="15">
        <f>OD!I8</f>
        <v>0.12456666666666667</v>
      </c>
      <c r="K5" s="15">
        <f>OD!J8</f>
        <v>0.12926666666666667</v>
      </c>
      <c r="L5" s="15">
        <f>OD!K8</f>
        <v>0.12913333333333332</v>
      </c>
      <c r="M5" s="15">
        <f>OD!L8</f>
        <v>0.12996666666666667</v>
      </c>
      <c r="N5" s="15">
        <f>OD!M8</f>
        <v>0.13436666666666666</v>
      </c>
      <c r="O5" s="15">
        <f>OD!N8</f>
        <v>0.12739999999999999</v>
      </c>
      <c r="Q5" s="15" t="e">
        <f>#REF!</f>
        <v>#REF!</v>
      </c>
      <c r="R5" s="15" t="e">
        <f>#REF!</f>
        <v>#REF!</v>
      </c>
      <c r="S5" s="15" t="e">
        <f>#REF!</f>
        <v>#REF!</v>
      </c>
      <c r="T5" s="15" t="e">
        <f>#REF!</f>
        <v>#REF!</v>
      </c>
      <c r="U5" s="15" t="e">
        <f>#REF!</f>
        <v>#REF!</v>
      </c>
      <c r="V5" s="15" t="e">
        <f>#REF!</f>
        <v>#REF!</v>
      </c>
      <c r="W5" s="15" t="e">
        <f>#REF!</f>
        <v>#REF!</v>
      </c>
      <c r="X5" s="15" t="e">
        <f>#REF!</f>
        <v>#REF!</v>
      </c>
      <c r="Y5" s="15" t="e">
        <f>#REF!</f>
        <v>#REF!</v>
      </c>
      <c r="Z5" s="15" t="e">
        <f>#REF!</f>
        <v>#REF!</v>
      </c>
      <c r="AA5" s="15" t="e">
        <f>#REF!</f>
        <v>#REF!</v>
      </c>
      <c r="AB5" s="15" t="e">
        <f>#REF!</f>
        <v>#REF!</v>
      </c>
    </row>
    <row r="6" spans="1:28" x14ac:dyDescent="0.2">
      <c r="A6" s="13">
        <v>41662</v>
      </c>
      <c r="B6" s="14">
        <f>OD!A11</f>
        <v>0.4375</v>
      </c>
      <c r="C6" s="11">
        <f>C5+B6-B5+24</f>
        <v>24</v>
      </c>
      <c r="D6" s="15">
        <f>OD!C17</f>
        <v>0.23773333333333335</v>
      </c>
      <c r="E6" s="15">
        <f>OD!D17</f>
        <v>0.24133333333333332</v>
      </c>
      <c r="F6" s="15">
        <f>OD!E17</f>
        <v>0.24186666666666667</v>
      </c>
      <c r="G6" s="15">
        <f>OD!F17</f>
        <v>0.22946666666666668</v>
      </c>
      <c r="H6" s="15">
        <f>OD!G17</f>
        <v>0.23740000000000003</v>
      </c>
      <c r="I6" s="15">
        <f>OD!H17</f>
        <v>0.23913333333333334</v>
      </c>
      <c r="J6" s="15">
        <f>OD!I17</f>
        <v>0.13126666666666667</v>
      </c>
      <c r="K6" s="15">
        <f>OD!J17</f>
        <v>0.13390000000000002</v>
      </c>
      <c r="L6" s="15">
        <f>OD!K17</f>
        <v>0.13469999999999999</v>
      </c>
      <c r="M6" s="15">
        <f>OD!L17</f>
        <v>0.13246666666666665</v>
      </c>
      <c r="N6" s="15">
        <f>OD!M17</f>
        <v>0.13376666666666667</v>
      </c>
      <c r="O6" s="15">
        <f>OD!N17</f>
        <v>0.13070000000000001</v>
      </c>
      <c r="Q6" s="15" t="e">
        <f>#REF!</f>
        <v>#REF!</v>
      </c>
      <c r="R6" s="15" t="e">
        <f>#REF!</f>
        <v>#REF!</v>
      </c>
      <c r="S6" s="15" t="e">
        <f>#REF!</f>
        <v>#REF!</v>
      </c>
      <c r="T6" s="15" t="e">
        <f>#REF!</f>
        <v>#REF!</v>
      </c>
      <c r="U6" s="15" t="e">
        <f>#REF!</f>
        <v>#REF!</v>
      </c>
      <c r="V6" s="15" t="e">
        <f>#REF!</f>
        <v>#REF!</v>
      </c>
      <c r="W6" s="15" t="e">
        <f>#REF!</f>
        <v>#REF!</v>
      </c>
      <c r="X6" s="15" t="e">
        <f>#REF!</f>
        <v>#REF!</v>
      </c>
      <c r="Y6" s="15" t="e">
        <f>#REF!</f>
        <v>#REF!</v>
      </c>
      <c r="Z6" s="15" t="e">
        <f>#REF!</f>
        <v>#REF!</v>
      </c>
      <c r="AA6" s="15" t="e">
        <f>#REF!</f>
        <v>#REF!</v>
      </c>
      <c r="AB6" s="15" t="e">
        <f>#REF!</f>
        <v>#REF!</v>
      </c>
    </row>
    <row r="7" spans="1:28" x14ac:dyDescent="0.2">
      <c r="A7" s="13">
        <v>41663</v>
      </c>
      <c r="B7" s="14">
        <f>OD!A20</f>
        <v>0.45833333333333331</v>
      </c>
      <c r="C7" s="11">
        <f t="shared" ref="C7:C10" si="0">C6+B7-B6+24</f>
        <v>48.020833333333329</v>
      </c>
      <c r="D7" s="15">
        <f>OD!C23</f>
        <v>0.29060000000000002</v>
      </c>
      <c r="E7" s="15">
        <f>OD!D23</f>
        <v>0.28673333333333334</v>
      </c>
      <c r="F7" s="15">
        <f>OD!E23</f>
        <v>0.29816666666666669</v>
      </c>
      <c r="G7" s="15">
        <f>OD!F23</f>
        <v>0.31040000000000001</v>
      </c>
      <c r="H7" s="15">
        <f>OD!G23</f>
        <v>0.33239999999999997</v>
      </c>
      <c r="I7" s="15">
        <f>OD!H23</f>
        <v>0.29259999999999997</v>
      </c>
      <c r="J7" s="15">
        <f>OD!I23</f>
        <v>0.14133333333333334</v>
      </c>
      <c r="K7" s="15">
        <f>OD!J23</f>
        <v>0.14413333333333334</v>
      </c>
      <c r="L7" s="15">
        <f>OD!K23</f>
        <v>0.13336666666666666</v>
      </c>
      <c r="M7" s="15">
        <f>OD!L23</f>
        <v>0.13606666666666667</v>
      </c>
      <c r="N7" s="15">
        <f>OD!M23</f>
        <v>0.13916666666666666</v>
      </c>
      <c r="O7" s="15">
        <f>OD!N23</f>
        <v>0.13496666666666665</v>
      </c>
      <c r="Q7" s="15" t="e">
        <f>#REF!</f>
        <v>#REF!</v>
      </c>
      <c r="R7" s="15" t="e">
        <f>#REF!</f>
        <v>#REF!</v>
      </c>
      <c r="S7" s="15" t="e">
        <f>#REF!</f>
        <v>#REF!</v>
      </c>
      <c r="T7" s="15" t="e">
        <f>#REF!</f>
        <v>#REF!</v>
      </c>
      <c r="U7" s="15" t="e">
        <f>#REF!</f>
        <v>#REF!</v>
      </c>
      <c r="V7" s="15" t="e">
        <f>#REF!</f>
        <v>#REF!</v>
      </c>
      <c r="W7" s="15" t="e">
        <f>#REF!</f>
        <v>#REF!</v>
      </c>
      <c r="X7" s="15" t="e">
        <f>#REF!</f>
        <v>#REF!</v>
      </c>
      <c r="Y7" s="15" t="e">
        <f>#REF!</f>
        <v>#REF!</v>
      </c>
      <c r="Z7" s="15" t="e">
        <f>#REF!</f>
        <v>#REF!</v>
      </c>
      <c r="AA7" s="15" t="e">
        <f>#REF!</f>
        <v>#REF!</v>
      </c>
      <c r="AB7" s="15" t="e">
        <f>#REF!</f>
        <v>#REF!</v>
      </c>
    </row>
    <row r="8" spans="1:28" x14ac:dyDescent="0.2">
      <c r="A8" s="13">
        <v>41664</v>
      </c>
      <c r="B8" s="14">
        <f>OD!A26</f>
        <v>0.4375</v>
      </c>
      <c r="C8" s="11">
        <f t="shared" si="0"/>
        <v>72</v>
      </c>
      <c r="D8" s="15">
        <f>OD!C32</f>
        <v>0.3177666666666667</v>
      </c>
      <c r="E8" s="15">
        <f>OD!D32</f>
        <v>0.33083333333333337</v>
      </c>
      <c r="F8" s="15">
        <f>OD!E32</f>
        <v>0.31156666666666671</v>
      </c>
      <c r="G8" s="15">
        <f>OD!F32</f>
        <v>0.32036666666666663</v>
      </c>
      <c r="H8" s="15">
        <f>OD!G32</f>
        <v>0.30796666666666667</v>
      </c>
      <c r="I8" s="15">
        <f>OD!H32</f>
        <v>0.31406666666666666</v>
      </c>
      <c r="J8" s="15">
        <f>OD!I32</f>
        <v>0.14599999999999999</v>
      </c>
      <c r="K8" s="15">
        <f>OD!J32</f>
        <v>0.14573333333333335</v>
      </c>
      <c r="L8" s="15">
        <f>OD!K32</f>
        <v>0.13986666666666667</v>
      </c>
      <c r="M8" s="15">
        <f>OD!L32</f>
        <v>0.14506666666666668</v>
      </c>
      <c r="N8" s="15">
        <f>OD!M32</f>
        <v>0.14456666666666665</v>
      </c>
      <c r="O8" s="15">
        <f>OD!N32</f>
        <v>0.1447</v>
      </c>
      <c r="Q8" s="15" t="e">
        <f>#REF!</f>
        <v>#REF!</v>
      </c>
      <c r="R8" s="15" t="e">
        <f>#REF!</f>
        <v>#REF!</v>
      </c>
      <c r="S8" s="15" t="e">
        <f>#REF!</f>
        <v>#REF!</v>
      </c>
      <c r="T8" s="15" t="e">
        <f>#REF!</f>
        <v>#REF!</v>
      </c>
      <c r="U8" s="15" t="e">
        <f>#REF!</f>
        <v>#REF!</v>
      </c>
      <c r="V8" s="15" t="e">
        <f>#REF!</f>
        <v>#REF!</v>
      </c>
      <c r="W8" s="15" t="e">
        <f>#REF!</f>
        <v>#REF!</v>
      </c>
      <c r="X8" s="15" t="e">
        <f>#REF!</f>
        <v>#REF!</v>
      </c>
      <c r="Y8" s="15" t="e">
        <f>#REF!</f>
        <v>#REF!</v>
      </c>
      <c r="Z8" s="15" t="e">
        <f>#REF!</f>
        <v>#REF!</v>
      </c>
      <c r="AA8" s="15" t="e">
        <f>#REF!</f>
        <v>#REF!</v>
      </c>
      <c r="AB8" s="15" t="e">
        <f>#REF!</f>
        <v>#REF!</v>
      </c>
    </row>
    <row r="9" spans="1:28" x14ac:dyDescent="0.2">
      <c r="A9" s="13">
        <v>41665</v>
      </c>
      <c r="B9" s="14">
        <f>OD!A35</f>
        <v>0.4375</v>
      </c>
      <c r="C9" s="11">
        <f t="shared" si="0"/>
        <v>96</v>
      </c>
      <c r="D9" s="15">
        <f>OD!C38</f>
        <v>0.34693333333333332</v>
      </c>
      <c r="E9" s="15">
        <f>OD!D38</f>
        <v>0.34393333333333337</v>
      </c>
      <c r="F9" s="15">
        <f>OD!E38</f>
        <v>0.32823333333333332</v>
      </c>
      <c r="G9" s="15">
        <f>OD!F38</f>
        <v>0.32143333333333329</v>
      </c>
      <c r="H9" s="15">
        <f>OD!G38</f>
        <v>0.30619999999999997</v>
      </c>
      <c r="I9" s="15">
        <f>OD!H38</f>
        <v>0.29536666666666661</v>
      </c>
      <c r="J9" s="15">
        <f>OD!I38</f>
        <v>0.15026666666666666</v>
      </c>
      <c r="K9" s="15">
        <f>OD!J38</f>
        <v>0.15733333333333335</v>
      </c>
      <c r="L9" s="15">
        <f>OD!K38</f>
        <v>0.14973333333333336</v>
      </c>
      <c r="M9" s="15">
        <f>OD!L38</f>
        <v>0.14993333333333336</v>
      </c>
      <c r="N9" s="15">
        <f>OD!M38</f>
        <v>0.14849999999999999</v>
      </c>
      <c r="O9" s="15">
        <f>OD!N38</f>
        <v>0.15140000000000001</v>
      </c>
      <c r="Q9" s="15" t="e">
        <f>#REF!</f>
        <v>#REF!</v>
      </c>
      <c r="R9" s="15" t="e">
        <f>#REF!</f>
        <v>#REF!</v>
      </c>
      <c r="S9" s="15" t="e">
        <f>#REF!</f>
        <v>#REF!</v>
      </c>
      <c r="T9" s="15" t="e">
        <f>#REF!</f>
        <v>#REF!</v>
      </c>
      <c r="U9" s="15" t="e">
        <f>#REF!</f>
        <v>#REF!</v>
      </c>
      <c r="V9" s="15" t="e">
        <f>#REF!</f>
        <v>#REF!</v>
      </c>
      <c r="W9" s="15" t="e">
        <f>#REF!</f>
        <v>#REF!</v>
      </c>
      <c r="X9" s="15" t="e">
        <f>#REF!</f>
        <v>#REF!</v>
      </c>
      <c r="Y9" s="15" t="e">
        <f>#REF!</f>
        <v>#REF!</v>
      </c>
      <c r="Z9" s="15" t="e">
        <f>#REF!</f>
        <v>#REF!</v>
      </c>
      <c r="AA9" s="15" t="e">
        <f>#REF!</f>
        <v>#REF!</v>
      </c>
      <c r="AB9" s="15" t="e">
        <f>#REF!</f>
        <v>#REF!</v>
      </c>
    </row>
    <row r="10" spans="1:28" x14ac:dyDescent="0.2">
      <c r="A10" s="13">
        <v>41666</v>
      </c>
      <c r="B10" s="14">
        <f>OD!A41</f>
        <v>0.41666666666666669</v>
      </c>
      <c r="C10" s="11">
        <f t="shared" si="0"/>
        <v>119.97916666666667</v>
      </c>
      <c r="D10" s="15">
        <f>OD!C44</f>
        <v>0.31656666666666666</v>
      </c>
      <c r="E10" s="15">
        <f>OD!D44</f>
        <v>0.33166666666666667</v>
      </c>
      <c r="F10" s="15">
        <f>OD!E44</f>
        <v>0.31003333333333333</v>
      </c>
      <c r="G10" s="15">
        <f>OD!F44</f>
        <v>0.31080000000000002</v>
      </c>
      <c r="H10" s="15">
        <f>OD!G44</f>
        <v>0.29370000000000002</v>
      </c>
      <c r="I10" s="15">
        <f>OD!H44</f>
        <v>0.28936666666666666</v>
      </c>
      <c r="J10" s="15">
        <f>OD!I44</f>
        <v>0.15763333333333332</v>
      </c>
      <c r="K10" s="15">
        <f>OD!J44</f>
        <v>0.15919999999999998</v>
      </c>
      <c r="L10" s="15">
        <f>OD!K44</f>
        <v>0.16066666666666668</v>
      </c>
      <c r="M10" s="15">
        <f>OD!L44</f>
        <v>0.15483333333333335</v>
      </c>
      <c r="N10" s="15">
        <f>OD!M44</f>
        <v>0.15826666666666667</v>
      </c>
      <c r="O10" s="15">
        <f>OD!N44</f>
        <v>0.15620000000000001</v>
      </c>
      <c r="Q10" s="15" t="e">
        <f>#REF!</f>
        <v>#REF!</v>
      </c>
      <c r="R10" s="15" t="e">
        <f>#REF!</f>
        <v>#REF!</v>
      </c>
      <c r="S10" s="15" t="e">
        <f>#REF!</f>
        <v>#REF!</v>
      </c>
      <c r="T10" s="15" t="e">
        <f>#REF!</f>
        <v>#REF!</v>
      </c>
      <c r="U10" s="15" t="e">
        <f>#REF!</f>
        <v>#REF!</v>
      </c>
      <c r="V10" s="15" t="e">
        <f>#REF!</f>
        <v>#REF!</v>
      </c>
      <c r="W10" s="15" t="e">
        <f>#REF!</f>
        <v>#REF!</v>
      </c>
      <c r="X10" s="15" t="e">
        <f>#REF!</f>
        <v>#REF!</v>
      </c>
      <c r="Y10" s="15" t="e">
        <f>#REF!</f>
        <v>#REF!</v>
      </c>
      <c r="Z10" s="15" t="e">
        <f>#REF!</f>
        <v>#REF!</v>
      </c>
      <c r="AA10" s="15" t="e">
        <f>#REF!</f>
        <v>#REF!</v>
      </c>
      <c r="AB10" s="15" t="e">
        <f>#REF!</f>
        <v>#REF!</v>
      </c>
    </row>
    <row r="12" spans="1:28" x14ac:dyDescent="0.2">
      <c r="D12" s="9" t="s">
        <v>24</v>
      </c>
      <c r="H12" s="9" t="s">
        <v>25</v>
      </c>
      <c r="L12" s="9" t="s">
        <v>67</v>
      </c>
    </row>
    <row r="13" spans="1:28" x14ac:dyDescent="0.2">
      <c r="A13" s="9" t="str">
        <f>A4</f>
        <v>Date</v>
      </c>
      <c r="B13" s="9" t="str">
        <f t="shared" ref="B13:C13" si="1">B4</f>
        <v>Time</v>
      </c>
      <c r="C13" s="9" t="str">
        <f t="shared" si="1"/>
        <v>Hour</v>
      </c>
      <c r="D13" s="9" t="s">
        <v>231</v>
      </c>
      <c r="E13" s="9" t="s">
        <v>218</v>
      </c>
      <c r="F13" s="9" t="s">
        <v>208</v>
      </c>
      <c r="G13" s="9" t="s">
        <v>209</v>
      </c>
      <c r="H13" s="9" t="s">
        <v>206</v>
      </c>
      <c r="I13" s="9" t="s">
        <v>207</v>
      </c>
      <c r="J13" s="9" t="s">
        <v>208</v>
      </c>
      <c r="K13" s="9" t="s">
        <v>209</v>
      </c>
      <c r="L13" s="9" t="s">
        <v>206</v>
      </c>
      <c r="M13" s="9" t="s">
        <v>207</v>
      </c>
      <c r="N13" s="9" t="s">
        <v>208</v>
      </c>
      <c r="O13" s="9" t="s">
        <v>209</v>
      </c>
    </row>
    <row r="14" spans="1:28" x14ac:dyDescent="0.2">
      <c r="A14" s="10">
        <f t="shared" ref="A14:C19" si="2">A5</f>
        <v>41661</v>
      </c>
      <c r="B14" s="12">
        <f t="shared" si="2"/>
        <v>0.4375</v>
      </c>
      <c r="C14" s="9">
        <f t="shared" si="2"/>
        <v>0</v>
      </c>
      <c r="D14" s="9">
        <f>AVERAGE(D5:I5)</f>
        <v>0.13133333333333336</v>
      </c>
      <c r="E14" s="9">
        <f>AVERAGE(J5:O5)</f>
        <v>0.12911666666666666</v>
      </c>
      <c r="H14" s="9">
        <f>STDEV(D5:I5)</f>
        <v>8.8147351381397433E-3</v>
      </c>
      <c r="I14" s="9">
        <f>STDEV(J5:O5)</f>
        <v>3.2235763438213209E-3</v>
      </c>
      <c r="L14" s="9">
        <f>H14/SQRT(3)</f>
        <v>5.089189704840234E-3</v>
      </c>
      <c r="M14" s="9">
        <f t="shared" ref="M14:N14" si="3">I14/SQRT(3)</f>
        <v>1.8611326698585494E-3</v>
      </c>
      <c r="N14" s="9">
        <f t="shared" si="3"/>
        <v>0</v>
      </c>
      <c r="O14" s="9">
        <f>K14/SQRT(3)</f>
        <v>0</v>
      </c>
    </row>
    <row r="15" spans="1:28" x14ac:dyDescent="0.2">
      <c r="A15" s="10">
        <f t="shared" si="2"/>
        <v>41662</v>
      </c>
      <c r="B15" s="12">
        <f t="shared" si="2"/>
        <v>0.4375</v>
      </c>
      <c r="C15" s="9">
        <f t="shared" si="2"/>
        <v>24</v>
      </c>
      <c r="D15" s="9">
        <f t="shared" ref="D15:D19" si="4">AVERAGE(D6:I6)</f>
        <v>0.23782222222222224</v>
      </c>
      <c r="E15" s="9">
        <f t="shared" ref="E15:E19" si="5">AVERAGE(J6:O6)</f>
        <v>0.1328</v>
      </c>
      <c r="H15" s="9">
        <f t="shared" ref="H15:H19" si="6">STDEV(D6:I6)</f>
        <v>4.4812035420392507E-3</v>
      </c>
      <c r="I15" s="9">
        <f t="shared" ref="I15:I19" si="7">STDEV(J6:O6)</f>
        <v>1.5891297408749624E-3</v>
      </c>
      <c r="L15" s="9">
        <f t="shared" ref="L15:L19" si="8">H15/SQRT(3)</f>
        <v>2.5872240712898659E-3</v>
      </c>
      <c r="M15" s="9">
        <f t="shared" ref="M15:M19" si="9">I15/SQRT(3)</f>
        <v>9.1748448367139979E-4</v>
      </c>
      <c r="N15" s="9">
        <f t="shared" ref="N15:N19" si="10">J15/SQRT(3)</f>
        <v>0</v>
      </c>
      <c r="O15" s="9">
        <f t="shared" ref="O15:O19" si="11">K15/SQRT(3)</f>
        <v>0</v>
      </c>
    </row>
    <row r="16" spans="1:28" x14ac:dyDescent="0.2">
      <c r="A16" s="10">
        <f t="shared" si="2"/>
        <v>41663</v>
      </c>
      <c r="B16" s="12">
        <f t="shared" si="2"/>
        <v>0.45833333333333331</v>
      </c>
      <c r="C16" s="9">
        <f t="shared" si="2"/>
        <v>48.020833333333329</v>
      </c>
      <c r="D16" s="9">
        <f t="shared" si="4"/>
        <v>0.30181666666666668</v>
      </c>
      <c r="E16" s="9">
        <f t="shared" si="5"/>
        <v>0.13817222222222222</v>
      </c>
      <c r="H16" s="9">
        <f t="shared" si="6"/>
        <v>1.7091541117692618E-2</v>
      </c>
      <c r="I16" s="9">
        <f t="shared" si="7"/>
        <v>4.1065485192239943E-3</v>
      </c>
      <c r="L16" s="9">
        <f t="shared" si="8"/>
        <v>9.867805865165391E-3</v>
      </c>
      <c r="M16" s="9">
        <f t="shared" si="9"/>
        <v>2.3709168930142323E-3</v>
      </c>
      <c r="N16" s="9">
        <f t="shared" si="10"/>
        <v>0</v>
      </c>
      <c r="O16" s="9">
        <f t="shared" si="11"/>
        <v>0</v>
      </c>
    </row>
    <row r="17" spans="1:15" x14ac:dyDescent="0.2">
      <c r="A17" s="10">
        <f t="shared" si="2"/>
        <v>41664</v>
      </c>
      <c r="B17" s="12">
        <f t="shared" si="2"/>
        <v>0.4375</v>
      </c>
      <c r="C17" s="9">
        <f t="shared" si="2"/>
        <v>72</v>
      </c>
      <c r="D17" s="9">
        <f t="shared" si="4"/>
        <v>0.31709444444444451</v>
      </c>
      <c r="E17" s="9">
        <f t="shared" si="5"/>
        <v>0.14432222222222221</v>
      </c>
      <c r="H17" s="9">
        <f t="shared" si="6"/>
        <v>8.0368710513667174E-3</v>
      </c>
      <c r="I17" s="9">
        <f t="shared" si="7"/>
        <v>2.2545427392185245E-3</v>
      </c>
      <c r="L17" s="9">
        <f t="shared" si="8"/>
        <v>4.640089664948885E-3</v>
      </c>
      <c r="M17" s="9">
        <f t="shared" si="9"/>
        <v>1.3016608573873315E-3</v>
      </c>
      <c r="N17" s="9">
        <f t="shared" si="10"/>
        <v>0</v>
      </c>
      <c r="O17" s="9">
        <f t="shared" si="11"/>
        <v>0</v>
      </c>
    </row>
    <row r="18" spans="1:15" x14ac:dyDescent="0.2">
      <c r="A18" s="10">
        <f t="shared" si="2"/>
        <v>41665</v>
      </c>
      <c r="B18" s="12">
        <f t="shared" si="2"/>
        <v>0.4375</v>
      </c>
      <c r="C18" s="9">
        <f t="shared" si="2"/>
        <v>96</v>
      </c>
      <c r="D18" s="9">
        <f t="shared" si="4"/>
        <v>0.32368333333333332</v>
      </c>
      <c r="E18" s="9">
        <f t="shared" si="5"/>
        <v>0.15119444444444444</v>
      </c>
      <c r="H18" s="9">
        <f t="shared" si="6"/>
        <v>2.041514416091917E-2</v>
      </c>
      <c r="I18" s="9">
        <f t="shared" si="7"/>
        <v>3.1487857742075564E-3</v>
      </c>
      <c r="L18" s="9">
        <f t="shared" si="8"/>
        <v>1.17866889768517E-2</v>
      </c>
      <c r="M18" s="9">
        <f t="shared" si="9"/>
        <v>1.8179523143591969E-3</v>
      </c>
      <c r="N18" s="9">
        <f t="shared" si="10"/>
        <v>0</v>
      </c>
      <c r="O18" s="9">
        <f t="shared" si="11"/>
        <v>0</v>
      </c>
    </row>
    <row r="19" spans="1:15" x14ac:dyDescent="0.2">
      <c r="A19" s="10">
        <f t="shared" si="2"/>
        <v>41666</v>
      </c>
      <c r="B19" s="12">
        <f t="shared" si="2"/>
        <v>0.41666666666666669</v>
      </c>
      <c r="C19" s="9">
        <f t="shared" si="2"/>
        <v>119.97916666666667</v>
      </c>
      <c r="D19" s="9">
        <f t="shared" si="4"/>
        <v>0.30868888888888885</v>
      </c>
      <c r="E19" s="9">
        <f t="shared" si="5"/>
        <v>0.1578</v>
      </c>
      <c r="H19" s="9">
        <f t="shared" si="6"/>
        <v>1.5455206482199044E-2</v>
      </c>
      <c r="I19" s="9">
        <f t="shared" si="7"/>
        <v>2.0873161928392329E-3</v>
      </c>
      <c r="L19" s="9">
        <f t="shared" si="8"/>
        <v>8.9230676228788681E-3</v>
      </c>
      <c r="M19" s="9">
        <f t="shared" si="9"/>
        <v>1.205112565819596E-3</v>
      </c>
      <c r="N19" s="9">
        <f t="shared" si="10"/>
        <v>0</v>
      </c>
      <c r="O19" s="9">
        <f t="shared" si="11"/>
        <v>0</v>
      </c>
    </row>
    <row r="21" spans="1:15" x14ac:dyDescent="0.2">
      <c r="L21" s="9" t="s">
        <v>51</v>
      </c>
    </row>
    <row r="22" spans="1:15" x14ac:dyDescent="0.2">
      <c r="L22" s="9">
        <f>D14+3.182*L14</f>
        <v>0.14752713497413497</v>
      </c>
      <c r="M22" s="9">
        <f t="shared" ref="M22:O22" si="12">E14+3.182*M14</f>
        <v>0.13503879082215656</v>
      </c>
      <c r="N22" s="9">
        <f t="shared" si="12"/>
        <v>0</v>
      </c>
      <c r="O22" s="9">
        <f t="shared" si="12"/>
        <v>0</v>
      </c>
    </row>
    <row r="23" spans="1:15" x14ac:dyDescent="0.2">
      <c r="L23" s="9">
        <f t="shared" ref="L23:L27" si="13">D15+3.182*L15</f>
        <v>0.24605476921706659</v>
      </c>
      <c r="M23" s="9">
        <f t="shared" ref="M23:M27" si="14">E15+3.182*M15</f>
        <v>0.13571943562704239</v>
      </c>
      <c r="N23" s="9">
        <f t="shared" ref="N23:N27" si="15">F15+3.182*N15</f>
        <v>0</v>
      </c>
      <c r="O23" s="9">
        <f t="shared" ref="O23:O27" si="16">G15+3.182*O15</f>
        <v>0</v>
      </c>
    </row>
    <row r="24" spans="1:15" x14ac:dyDescent="0.2">
      <c r="L24" s="9">
        <f t="shared" si="13"/>
        <v>0.33321602492962293</v>
      </c>
      <c r="M24" s="9">
        <f t="shared" si="14"/>
        <v>0.14571647977579352</v>
      </c>
      <c r="N24" s="9">
        <f t="shared" si="15"/>
        <v>0</v>
      </c>
      <c r="O24" s="9">
        <f t="shared" si="16"/>
        <v>0</v>
      </c>
    </row>
    <row r="25" spans="1:15" x14ac:dyDescent="0.2">
      <c r="L25" s="9">
        <f t="shared" si="13"/>
        <v>0.33185920975831185</v>
      </c>
      <c r="M25" s="9">
        <f t="shared" si="14"/>
        <v>0.1484641070704287</v>
      </c>
      <c r="N25" s="9">
        <f t="shared" si="15"/>
        <v>0</v>
      </c>
      <c r="O25" s="9">
        <f t="shared" si="16"/>
        <v>0</v>
      </c>
    </row>
    <row r="26" spans="1:15" x14ac:dyDescent="0.2">
      <c r="L26" s="9">
        <f t="shared" si="13"/>
        <v>0.36118857765767542</v>
      </c>
      <c r="M26" s="9">
        <f t="shared" si="14"/>
        <v>0.15697916870873541</v>
      </c>
      <c r="N26" s="9">
        <f t="shared" si="15"/>
        <v>0</v>
      </c>
      <c r="O26" s="9">
        <f t="shared" si="16"/>
        <v>0</v>
      </c>
    </row>
    <row r="27" spans="1:15" x14ac:dyDescent="0.2">
      <c r="L27" s="9">
        <f t="shared" si="13"/>
        <v>0.33708209006488943</v>
      </c>
      <c r="M27" s="9">
        <f t="shared" si="14"/>
        <v>0.16163466818443795</v>
      </c>
      <c r="N27" s="9">
        <f t="shared" si="15"/>
        <v>0</v>
      </c>
      <c r="O27" s="9">
        <f t="shared" si="16"/>
        <v>0</v>
      </c>
    </row>
    <row r="29" spans="1:15" x14ac:dyDescent="0.2">
      <c r="L29" s="9" t="s">
        <v>52</v>
      </c>
    </row>
    <row r="30" spans="1:15" x14ac:dyDescent="0.2">
      <c r="L30" s="9">
        <f>D14-L14</f>
        <v>0.12624414362849312</v>
      </c>
      <c r="M30" s="9">
        <f t="shared" ref="M30:O35" si="17">E14-M14</f>
        <v>0.12725553399680811</v>
      </c>
      <c r="N30" s="9">
        <f t="shared" si="17"/>
        <v>0</v>
      </c>
      <c r="O30" s="9">
        <f t="shared" si="17"/>
        <v>0</v>
      </c>
    </row>
    <row r="31" spans="1:15" x14ac:dyDescent="0.2">
      <c r="L31" s="9">
        <f t="shared" ref="L31:L35" si="18">D15-L15</f>
        <v>0.23523499815093238</v>
      </c>
      <c r="M31" s="9">
        <f t="shared" si="17"/>
        <v>0.1318825155163286</v>
      </c>
      <c r="N31" s="9">
        <f t="shared" si="17"/>
        <v>0</v>
      </c>
      <c r="O31" s="9">
        <f t="shared" si="17"/>
        <v>0</v>
      </c>
    </row>
    <row r="32" spans="1:15" x14ac:dyDescent="0.2">
      <c r="L32" s="9">
        <f t="shared" si="18"/>
        <v>0.29194886080150129</v>
      </c>
      <c r="M32" s="9">
        <f t="shared" si="17"/>
        <v>0.13580130532920801</v>
      </c>
      <c r="N32" s="9">
        <f t="shared" si="17"/>
        <v>0</v>
      </c>
      <c r="O32" s="9">
        <f t="shared" si="17"/>
        <v>0</v>
      </c>
    </row>
    <row r="33" spans="12:15" x14ac:dyDescent="0.2">
      <c r="L33" s="9">
        <f t="shared" si="18"/>
        <v>0.31245435477949562</v>
      </c>
      <c r="M33" s="9">
        <f t="shared" si="17"/>
        <v>0.14302056136483488</v>
      </c>
      <c r="N33" s="9">
        <f t="shared" si="17"/>
        <v>0</v>
      </c>
      <c r="O33" s="9">
        <f t="shared" si="17"/>
        <v>0</v>
      </c>
    </row>
    <row r="34" spans="12:15" x14ac:dyDescent="0.2">
      <c r="L34" s="9">
        <f t="shared" si="18"/>
        <v>0.31189664435648162</v>
      </c>
      <c r="M34" s="9">
        <f t="shared" si="17"/>
        <v>0.14937649213008525</v>
      </c>
      <c r="N34" s="9">
        <f t="shared" si="17"/>
        <v>0</v>
      </c>
      <c r="O34" s="9">
        <f t="shared" si="17"/>
        <v>0</v>
      </c>
    </row>
    <row r="35" spans="12:15" x14ac:dyDescent="0.2">
      <c r="L35" s="9">
        <f t="shared" si="18"/>
        <v>0.29976582126600998</v>
      </c>
      <c r="M35" s="9">
        <f t="shared" si="17"/>
        <v>0.1565948874341804</v>
      </c>
      <c r="N35" s="9">
        <f t="shared" si="17"/>
        <v>0</v>
      </c>
      <c r="O35" s="9">
        <f t="shared" si="17"/>
        <v>0</v>
      </c>
    </row>
    <row r="51" spans="1:26" x14ac:dyDescent="0.2">
      <c r="A51" s="9" t="s">
        <v>53</v>
      </c>
      <c r="C51" s="9" t="s">
        <v>14</v>
      </c>
    </row>
    <row r="52" spans="1:26" x14ac:dyDescent="0.2">
      <c r="O52" s="9" t="s">
        <v>60</v>
      </c>
    </row>
    <row r="53" spans="1:26" x14ac:dyDescent="0.2">
      <c r="A53" s="9" t="s">
        <v>4</v>
      </c>
      <c r="B53" s="9" t="str">
        <f>D4</f>
        <v>Culture 1</v>
      </c>
      <c r="C53" s="9" t="str">
        <f t="shared" ref="C53:M53" si="19">E4</f>
        <v>Culture 2</v>
      </c>
      <c r="D53" s="9" t="str">
        <f t="shared" si="19"/>
        <v>Culture 3</v>
      </c>
      <c r="E53" s="9" t="str">
        <f t="shared" si="19"/>
        <v>Culture 4</v>
      </c>
      <c r="F53" s="9" t="str">
        <f t="shared" si="19"/>
        <v>Culture 5</v>
      </c>
      <c r="G53" s="9" t="str">
        <f t="shared" si="19"/>
        <v>Culture 6</v>
      </c>
      <c r="H53" s="9" t="str">
        <f t="shared" si="19"/>
        <v>Culture 7</v>
      </c>
      <c r="I53" s="9" t="str">
        <f t="shared" si="19"/>
        <v>Culture 8</v>
      </c>
      <c r="J53" s="9" t="str">
        <f t="shared" si="19"/>
        <v>Culture 9</v>
      </c>
      <c r="K53" s="9" t="str">
        <f t="shared" si="19"/>
        <v>Culture 10</v>
      </c>
      <c r="L53" s="9" t="str">
        <f t="shared" si="19"/>
        <v>Culture 11</v>
      </c>
      <c r="M53" s="9" t="str">
        <f t="shared" si="19"/>
        <v>Culture 12</v>
      </c>
      <c r="N53" s="9" t="s">
        <v>54</v>
      </c>
      <c r="O53" s="9" t="s">
        <v>38</v>
      </c>
      <c r="P53" s="9" t="s">
        <v>39</v>
      </c>
      <c r="Q53" s="9" t="s">
        <v>40</v>
      </c>
      <c r="R53" s="9" t="s">
        <v>41</v>
      </c>
      <c r="S53" s="9" t="s">
        <v>42</v>
      </c>
      <c r="T53" s="9" t="s">
        <v>43</v>
      </c>
      <c r="U53" s="9" t="s">
        <v>44</v>
      </c>
      <c r="V53" s="9" t="s">
        <v>45</v>
      </c>
      <c r="W53" s="9" t="s">
        <v>46</v>
      </c>
      <c r="X53" s="9" t="s">
        <v>47</v>
      </c>
      <c r="Y53" s="9" t="s">
        <v>48</v>
      </c>
      <c r="Z53" s="9" t="s">
        <v>49</v>
      </c>
    </row>
    <row r="54" spans="1:26" x14ac:dyDescent="0.2">
      <c r="A54" s="9">
        <v>1</v>
      </c>
      <c r="B54" s="15">
        <f>OD!C41</f>
        <v>0.318</v>
      </c>
      <c r="C54" s="15">
        <f>OD!D41</f>
        <v>0.3301</v>
      </c>
      <c r="D54" s="15">
        <f>OD!E41</f>
        <v>0.31119999999999998</v>
      </c>
      <c r="E54" s="15">
        <f>OD!F41</f>
        <v>0.31090000000000001</v>
      </c>
      <c r="F54" s="15">
        <f>OD!G41</f>
        <v>0.29809999999999998</v>
      </c>
      <c r="G54" s="15">
        <f>OD!H41</f>
        <v>0.31109999999999999</v>
      </c>
      <c r="H54" s="15">
        <f>OD!I41</f>
        <v>0.15939999999999999</v>
      </c>
      <c r="I54" s="15">
        <f>OD!J41</f>
        <v>0.16139999999999999</v>
      </c>
      <c r="J54" s="15">
        <f>OD!K41</f>
        <v>0.16320000000000001</v>
      </c>
      <c r="K54" s="15">
        <f>OD!L41</f>
        <v>0.15570000000000001</v>
      </c>
      <c r="L54" s="15">
        <f>OD!M41</f>
        <v>0.1623</v>
      </c>
      <c r="M54" s="15">
        <f>OD!N41</f>
        <v>0.15890000000000001</v>
      </c>
      <c r="N54" s="9">
        <f>1/A54</f>
        <v>1</v>
      </c>
      <c r="O54" s="19">
        <f>I86</f>
        <v>0.4328125000000016</v>
      </c>
      <c r="P54" s="19">
        <f>I87</f>
        <v>0.42812500000000142</v>
      </c>
      <c r="Q54" s="19">
        <f>I88</f>
        <v>0.39812499999999917</v>
      </c>
      <c r="R54" s="19">
        <f>I89</f>
        <v>0.39406249999999754</v>
      </c>
      <c r="S54" s="19">
        <f>I90</f>
        <v>0.39124999999999854</v>
      </c>
      <c r="T54" s="19">
        <f>I91</f>
        <v>0.38812500000000028</v>
      </c>
      <c r="U54" s="19">
        <f>I92</f>
        <v>9.6249999999997726E-2</v>
      </c>
      <c r="V54" s="19">
        <f>I93</f>
        <v>0.10531250000000436</v>
      </c>
      <c r="W54" s="19">
        <f>I94</f>
        <v>9.7500000000000364E-2</v>
      </c>
      <c r="X54" s="19">
        <f>I95</f>
        <v>0.1009374999999979</v>
      </c>
      <c r="Y54" s="19">
        <f>I96</f>
        <v>9.8437499999998179E-2</v>
      </c>
      <c r="Z54" s="19">
        <f>I97</f>
        <v>9.9687499999995266E-2</v>
      </c>
    </row>
    <row r="55" spans="1:26" x14ac:dyDescent="0.2">
      <c r="A55" s="9">
        <v>1</v>
      </c>
      <c r="B55" s="15">
        <f>OD!C42</f>
        <v>0.31719999999999998</v>
      </c>
      <c r="C55" s="15">
        <f>OD!D42</f>
        <v>0.33</v>
      </c>
      <c r="D55" s="15">
        <f>OD!E42</f>
        <v>0.30909999999999999</v>
      </c>
      <c r="E55" s="15">
        <f>OD!F42</f>
        <v>0.31009999999999999</v>
      </c>
      <c r="F55" s="15">
        <f>OD!G42</f>
        <v>0.29630000000000001</v>
      </c>
      <c r="G55" s="15">
        <f>OD!H42</f>
        <v>0.28070000000000001</v>
      </c>
      <c r="H55" s="15">
        <f>OD!I42</f>
        <v>0.15740000000000001</v>
      </c>
      <c r="I55" s="15">
        <f>OD!J42</f>
        <v>0.15939999999999999</v>
      </c>
      <c r="J55" s="15">
        <f>OD!K42</f>
        <v>0.16009999999999999</v>
      </c>
      <c r="K55" s="15">
        <f>OD!L42</f>
        <v>0.15529999999999999</v>
      </c>
      <c r="L55" s="15">
        <f>OD!M42</f>
        <v>0.1583</v>
      </c>
      <c r="M55" s="15">
        <f>OD!N42</f>
        <v>0.15629999999999999</v>
      </c>
      <c r="N55" s="9">
        <f t="shared" ref="N55:N61" si="20">1/A55</f>
        <v>1</v>
      </c>
      <c r="O55" s="9">
        <f>O54*$N55</f>
        <v>0.4328125000000016</v>
      </c>
      <c r="P55" s="9">
        <f t="shared" ref="P55:Z55" si="21">P54*$N55</f>
        <v>0.42812500000000142</v>
      </c>
      <c r="Q55" s="9">
        <f t="shared" si="21"/>
        <v>0.39812499999999917</v>
      </c>
      <c r="R55" s="9">
        <f t="shared" si="21"/>
        <v>0.39406249999999754</v>
      </c>
      <c r="S55" s="9">
        <f t="shared" si="21"/>
        <v>0.39124999999999854</v>
      </c>
      <c r="T55" s="9">
        <f t="shared" si="21"/>
        <v>0.38812500000000028</v>
      </c>
      <c r="U55" s="9">
        <f t="shared" si="21"/>
        <v>9.6249999999997726E-2</v>
      </c>
      <c r="V55" s="9">
        <f t="shared" si="21"/>
        <v>0.10531250000000436</v>
      </c>
      <c r="W55" s="9">
        <f t="shared" si="21"/>
        <v>9.7500000000000364E-2</v>
      </c>
      <c r="X55" s="9">
        <f t="shared" si="21"/>
        <v>0.1009374999999979</v>
      </c>
      <c r="Y55" s="9">
        <f t="shared" si="21"/>
        <v>9.8437499999998179E-2</v>
      </c>
      <c r="Z55" s="9">
        <f t="shared" si="21"/>
        <v>9.9687499999995266E-2</v>
      </c>
    </row>
    <row r="56" spans="1:26" x14ac:dyDescent="0.2">
      <c r="A56" s="9">
        <v>1</v>
      </c>
      <c r="B56" s="15">
        <f>OD!C43</f>
        <v>0.3145</v>
      </c>
      <c r="C56" s="15">
        <f>OD!D43</f>
        <v>0.33489999999999998</v>
      </c>
      <c r="D56" s="15">
        <f>OD!E43</f>
        <v>0.30980000000000002</v>
      </c>
      <c r="E56" s="15">
        <f>OD!F43</f>
        <v>0.31140000000000001</v>
      </c>
      <c r="F56" s="15">
        <f>OD!G43</f>
        <v>0.28670000000000001</v>
      </c>
      <c r="G56" s="15">
        <f>OD!H43</f>
        <v>0.27629999999999999</v>
      </c>
      <c r="H56" s="15">
        <f>OD!I43</f>
        <v>0.15609999999999999</v>
      </c>
      <c r="I56" s="15">
        <f>OD!J43</f>
        <v>0.15679999999999999</v>
      </c>
      <c r="J56" s="15">
        <f>OD!K43</f>
        <v>0.15870000000000001</v>
      </c>
      <c r="K56" s="15">
        <f>OD!L43</f>
        <v>0.1535</v>
      </c>
      <c r="L56" s="15">
        <f>OD!M43</f>
        <v>0.1542</v>
      </c>
      <c r="M56" s="15">
        <f>OD!N43</f>
        <v>0.15340000000000001</v>
      </c>
      <c r="N56" s="9">
        <f t="shared" si="20"/>
        <v>1</v>
      </c>
      <c r="O56" s="9">
        <f t="shared" ref="O56" si="22">O55*$N56</f>
        <v>0.4328125000000016</v>
      </c>
      <c r="P56" s="9">
        <f t="shared" ref="P56" si="23">P55*$N56</f>
        <v>0.42812500000000142</v>
      </c>
      <c r="Q56" s="9">
        <f t="shared" ref="Q56" si="24">Q55*$N56</f>
        <v>0.39812499999999917</v>
      </c>
      <c r="R56" s="9">
        <f t="shared" ref="R56" si="25">R55*$N56</f>
        <v>0.39406249999999754</v>
      </c>
      <c r="S56" s="9">
        <f t="shared" ref="S56" si="26">S55*$N56</f>
        <v>0.39124999999999854</v>
      </c>
      <c r="T56" s="9">
        <f t="shared" ref="T56" si="27">T55*$N56</f>
        <v>0.38812500000000028</v>
      </c>
      <c r="U56" s="9">
        <f t="shared" ref="U56" si="28">U55*$N56</f>
        <v>9.6249999999997726E-2</v>
      </c>
      <c r="V56" s="9">
        <f t="shared" ref="V56" si="29">V55*$N56</f>
        <v>0.10531250000000436</v>
      </c>
      <c r="W56" s="9">
        <f t="shared" ref="W56" si="30">W55*$N56</f>
        <v>9.7500000000000364E-2</v>
      </c>
      <c r="X56" s="9">
        <f t="shared" ref="X56" si="31">X55*$N56</f>
        <v>0.1009374999999979</v>
      </c>
      <c r="Y56" s="9">
        <f t="shared" ref="Y56" si="32">Y55*$N56</f>
        <v>9.8437499999998179E-2</v>
      </c>
      <c r="Z56" s="9">
        <f t="shared" ref="Z56" si="33">Z55*$N56</f>
        <v>9.9687499999995266E-2</v>
      </c>
    </row>
    <row r="57" spans="1:26" x14ac:dyDescent="0.2">
      <c r="A57" s="9">
        <v>2</v>
      </c>
      <c r="B57" s="15">
        <f>OD!C50</f>
        <v>0.13020000000000001</v>
      </c>
      <c r="C57" s="15">
        <f>OD!D50</f>
        <v>0.14380000000000001</v>
      </c>
      <c r="D57" s="15">
        <f>OD!E50</f>
        <v>0.14069999999999999</v>
      </c>
      <c r="E57" s="15">
        <f>OD!F50</f>
        <v>0.13250000000000001</v>
      </c>
      <c r="F57" s="15">
        <f>OD!G50</f>
        <v>0.13070000000000001</v>
      </c>
      <c r="G57" s="15">
        <f>OD!H50</f>
        <v>0.1232</v>
      </c>
      <c r="H57" s="15">
        <f>OD!I50</f>
        <v>8.5000000000000006E-2</v>
      </c>
      <c r="I57" s="15">
        <f>OD!J50</f>
        <v>8.6300000000000002E-2</v>
      </c>
      <c r="J57" s="15">
        <f>OD!K50</f>
        <v>8.9300000000000004E-2</v>
      </c>
      <c r="K57" s="15">
        <f>OD!L50</f>
        <v>8.6499999999999994E-2</v>
      </c>
      <c r="L57" s="15">
        <f>OD!M50</f>
        <v>8.7900000000000006E-2</v>
      </c>
      <c r="M57" s="15">
        <f>OD!N50</f>
        <v>8.8900000000000007E-2</v>
      </c>
      <c r="N57" s="9">
        <f t="shared" si="20"/>
        <v>0.5</v>
      </c>
      <c r="O57" s="9">
        <f>O$56*$N57</f>
        <v>0.2164062500000008</v>
      </c>
      <c r="P57" s="9">
        <f t="shared" ref="P57:Z57" si="34">P$56*$N57</f>
        <v>0.21406250000000071</v>
      </c>
      <c r="Q57" s="9">
        <f t="shared" si="34"/>
        <v>0.19906249999999959</v>
      </c>
      <c r="R57" s="9">
        <f t="shared" si="34"/>
        <v>0.19703124999999877</v>
      </c>
      <c r="S57" s="9">
        <f t="shared" si="34"/>
        <v>0.19562499999999927</v>
      </c>
      <c r="T57" s="9">
        <f t="shared" si="34"/>
        <v>0.19406250000000014</v>
      </c>
      <c r="U57" s="9">
        <f t="shared" si="34"/>
        <v>4.8124999999998863E-2</v>
      </c>
      <c r="V57" s="9">
        <f t="shared" si="34"/>
        <v>5.265625000000218E-2</v>
      </c>
      <c r="W57" s="9">
        <f t="shared" si="34"/>
        <v>4.8750000000000182E-2</v>
      </c>
      <c r="X57" s="9">
        <f t="shared" si="34"/>
        <v>5.0468749999998952E-2</v>
      </c>
      <c r="Y57" s="9">
        <f t="shared" si="34"/>
        <v>4.921874999999909E-2</v>
      </c>
      <c r="Z57" s="9">
        <f t="shared" si="34"/>
        <v>4.9843749999997633E-2</v>
      </c>
    </row>
    <row r="58" spans="1:26" x14ac:dyDescent="0.2">
      <c r="A58" s="9">
        <v>4</v>
      </c>
      <c r="B58" s="15">
        <f>OD!C51</f>
        <v>7.7499999999999999E-2</v>
      </c>
      <c r="C58" s="15">
        <f>OD!D51</f>
        <v>8.0799999999999997E-2</v>
      </c>
      <c r="D58" s="15">
        <f>OD!E51</f>
        <v>7.7799999999999994E-2</v>
      </c>
      <c r="E58" s="15">
        <f>OD!F51</f>
        <v>7.6399999999999996E-2</v>
      </c>
      <c r="F58" s="15">
        <f>OD!G51</f>
        <v>7.6200000000000004E-2</v>
      </c>
      <c r="G58" s="15">
        <f>OD!H51</f>
        <v>7.2599999999999998E-2</v>
      </c>
      <c r="H58" s="15">
        <f>OD!I51</f>
        <v>5.3999999999999999E-2</v>
      </c>
      <c r="I58" s="15">
        <f>OD!J51</f>
        <v>5.5199999999999999E-2</v>
      </c>
      <c r="J58" s="15">
        <f>OD!K51</f>
        <v>5.7000000000000002E-2</v>
      </c>
      <c r="K58" s="15">
        <f>OD!L51</f>
        <v>5.5899999999999998E-2</v>
      </c>
      <c r="L58" s="15">
        <f>OD!M51</f>
        <v>5.6500000000000002E-2</v>
      </c>
      <c r="M58" s="15">
        <f>OD!N51</f>
        <v>5.6000000000000001E-2</v>
      </c>
      <c r="N58" s="9">
        <f t="shared" si="20"/>
        <v>0.25</v>
      </c>
      <c r="O58" s="9">
        <f t="shared" ref="O58:Z61" si="35">O$56*$N58</f>
        <v>0.1082031250000004</v>
      </c>
      <c r="P58" s="9">
        <f t="shared" si="35"/>
        <v>0.10703125000000036</v>
      </c>
      <c r="Q58" s="9">
        <f t="shared" si="35"/>
        <v>9.9531249999999793E-2</v>
      </c>
      <c r="R58" s="9">
        <f t="shared" si="35"/>
        <v>9.8515624999999385E-2</v>
      </c>
      <c r="S58" s="9">
        <f t="shared" si="35"/>
        <v>9.7812499999999636E-2</v>
      </c>
      <c r="T58" s="9">
        <f t="shared" si="35"/>
        <v>9.7031250000000069E-2</v>
      </c>
      <c r="U58" s="9">
        <f t="shared" si="35"/>
        <v>2.4062499999999432E-2</v>
      </c>
      <c r="V58" s="9">
        <f t="shared" si="35"/>
        <v>2.632812500000109E-2</v>
      </c>
      <c r="W58" s="9">
        <f t="shared" si="35"/>
        <v>2.4375000000000091E-2</v>
      </c>
      <c r="X58" s="9">
        <f t="shared" si="35"/>
        <v>2.5234374999999476E-2</v>
      </c>
      <c r="Y58" s="9">
        <f t="shared" si="35"/>
        <v>2.4609374999999545E-2</v>
      </c>
      <c r="Z58" s="9">
        <f t="shared" si="35"/>
        <v>2.4921874999998817E-2</v>
      </c>
    </row>
    <row r="59" spans="1:26" x14ac:dyDescent="0.2">
      <c r="A59" s="9">
        <v>8</v>
      </c>
      <c r="B59" s="15">
        <f>OD!C52</f>
        <v>5.28E-2</v>
      </c>
      <c r="C59" s="15">
        <f>OD!D52</f>
        <v>5.3999999999999999E-2</v>
      </c>
      <c r="D59" s="15">
        <f>OD!E52</f>
        <v>5.2499999999999998E-2</v>
      </c>
      <c r="E59" s="15">
        <f>OD!F52</f>
        <v>5.3100000000000001E-2</v>
      </c>
      <c r="F59" s="15">
        <f>OD!G52</f>
        <v>5.2900000000000003E-2</v>
      </c>
      <c r="G59" s="15">
        <f>OD!H52</f>
        <v>4.9799999999999997E-2</v>
      </c>
      <c r="H59" s="15">
        <f>OD!I52</f>
        <v>4.0899999999999999E-2</v>
      </c>
      <c r="I59" s="15">
        <f>OD!J52</f>
        <v>4.1200000000000001E-2</v>
      </c>
      <c r="J59" s="15">
        <f>OD!K52</f>
        <v>4.24E-2</v>
      </c>
      <c r="K59" s="15">
        <f>OD!L52</f>
        <v>4.24E-2</v>
      </c>
      <c r="L59" s="15">
        <f>OD!M52</f>
        <v>4.2999999999999997E-2</v>
      </c>
      <c r="M59" s="15">
        <f>OD!N52</f>
        <v>4.2999999999999997E-2</v>
      </c>
      <c r="N59" s="9">
        <f t="shared" si="20"/>
        <v>0.125</v>
      </c>
      <c r="O59" s="9">
        <f t="shared" si="35"/>
        <v>5.41015625000002E-2</v>
      </c>
      <c r="P59" s="9">
        <f t="shared" si="35"/>
        <v>5.3515625000000178E-2</v>
      </c>
      <c r="Q59" s="9">
        <f t="shared" si="35"/>
        <v>4.9765624999999897E-2</v>
      </c>
      <c r="R59" s="9">
        <f t="shared" si="35"/>
        <v>4.9257812499999692E-2</v>
      </c>
      <c r="S59" s="9">
        <f t="shared" si="35"/>
        <v>4.8906249999999818E-2</v>
      </c>
      <c r="T59" s="9">
        <f t="shared" si="35"/>
        <v>4.8515625000000034E-2</v>
      </c>
      <c r="U59" s="9">
        <f t="shared" si="35"/>
        <v>1.2031249999999716E-2</v>
      </c>
      <c r="V59" s="9">
        <f t="shared" si="35"/>
        <v>1.3164062500000545E-2</v>
      </c>
      <c r="W59" s="9">
        <f t="shared" si="35"/>
        <v>1.2187500000000046E-2</v>
      </c>
      <c r="X59" s="9">
        <f t="shared" si="35"/>
        <v>1.2617187499999738E-2</v>
      </c>
      <c r="Y59" s="9">
        <f t="shared" si="35"/>
        <v>1.2304687499999772E-2</v>
      </c>
      <c r="Z59" s="9">
        <f t="shared" si="35"/>
        <v>1.2460937499999408E-2</v>
      </c>
    </row>
    <row r="60" spans="1:26" x14ac:dyDescent="0.2">
      <c r="A60" s="9">
        <v>16</v>
      </c>
      <c r="B60" s="15">
        <f>OD!C53</f>
        <v>4.2599999999999999E-2</v>
      </c>
      <c r="C60" s="15">
        <f>OD!D53</f>
        <v>4.1399999999999999E-2</v>
      </c>
      <c r="D60" s="15">
        <f>OD!E53</f>
        <v>4.1300000000000003E-2</v>
      </c>
      <c r="E60" s="15">
        <f>OD!F53</f>
        <v>4.07E-2</v>
      </c>
      <c r="F60" s="15">
        <f>OD!G53</f>
        <v>4.1099999999999998E-2</v>
      </c>
      <c r="G60" s="15">
        <f>OD!H53</f>
        <v>4.0899999999999999E-2</v>
      </c>
      <c r="H60" s="15">
        <f>OD!I53</f>
        <v>3.7600000000000001E-2</v>
      </c>
      <c r="I60" s="15">
        <f>OD!J53</f>
        <v>3.7100000000000001E-2</v>
      </c>
      <c r="J60" s="15">
        <f>OD!K53</f>
        <v>3.6600000000000001E-2</v>
      </c>
      <c r="K60" s="15">
        <f>OD!L53</f>
        <v>3.6299999999999999E-2</v>
      </c>
      <c r="L60" s="15">
        <f>OD!M53</f>
        <v>3.78E-2</v>
      </c>
      <c r="M60" s="15">
        <f>OD!N53</f>
        <v>3.61E-2</v>
      </c>
      <c r="N60" s="9">
        <f t="shared" si="20"/>
        <v>6.25E-2</v>
      </c>
      <c r="O60" s="9">
        <f t="shared" si="35"/>
        <v>2.70507812500001E-2</v>
      </c>
      <c r="P60" s="9">
        <f t="shared" si="35"/>
        <v>2.6757812500000089E-2</v>
      </c>
      <c r="Q60" s="9">
        <f t="shared" si="35"/>
        <v>2.4882812499999948E-2</v>
      </c>
      <c r="R60" s="9">
        <f t="shared" si="35"/>
        <v>2.4628906249999846E-2</v>
      </c>
      <c r="S60" s="9">
        <f t="shared" si="35"/>
        <v>2.4453124999999909E-2</v>
      </c>
      <c r="T60" s="9">
        <f t="shared" si="35"/>
        <v>2.4257812500000017E-2</v>
      </c>
      <c r="U60" s="9">
        <f t="shared" si="35"/>
        <v>6.0156249999998579E-3</v>
      </c>
      <c r="V60" s="9">
        <f t="shared" si="35"/>
        <v>6.5820312500002726E-3</v>
      </c>
      <c r="W60" s="9">
        <f t="shared" si="35"/>
        <v>6.0937500000000228E-3</v>
      </c>
      <c r="X60" s="9">
        <f t="shared" si="35"/>
        <v>6.308593749999869E-3</v>
      </c>
      <c r="Y60" s="9">
        <f t="shared" si="35"/>
        <v>6.1523437499998862E-3</v>
      </c>
      <c r="Z60" s="9">
        <f t="shared" si="35"/>
        <v>6.2304687499997041E-3</v>
      </c>
    </row>
    <row r="61" spans="1:26" x14ac:dyDescent="0.2">
      <c r="A61" s="9">
        <v>32</v>
      </c>
      <c r="B61" s="15">
        <f>OD!C54</f>
        <v>3.8100000000000002E-2</v>
      </c>
      <c r="C61" s="15">
        <f>OD!D54</f>
        <v>3.8600000000000002E-2</v>
      </c>
      <c r="D61" s="15">
        <f>OD!E54</f>
        <v>3.7999999999999999E-2</v>
      </c>
      <c r="E61" s="15">
        <f>OD!F54</f>
        <v>3.9E-2</v>
      </c>
      <c r="F61" s="15">
        <f>OD!G54</f>
        <v>3.7900000000000003E-2</v>
      </c>
      <c r="G61" s="15">
        <f>OD!H54</f>
        <v>3.7900000000000003E-2</v>
      </c>
      <c r="H61" s="15">
        <f>OD!I54</f>
        <v>3.5200000000000002E-2</v>
      </c>
      <c r="I61" s="15">
        <f>OD!J54</f>
        <v>3.8100000000000002E-2</v>
      </c>
      <c r="J61" s="15">
        <f>OD!K54</f>
        <v>3.5799999999999998E-2</v>
      </c>
      <c r="K61" s="15">
        <f>OD!L54</f>
        <v>3.5900000000000001E-2</v>
      </c>
      <c r="L61" s="15">
        <f>OD!M54</f>
        <v>3.6200000000000003E-2</v>
      </c>
      <c r="M61" s="15">
        <f>OD!N54</f>
        <v>3.6299999999999999E-2</v>
      </c>
      <c r="N61" s="9">
        <f t="shared" si="20"/>
        <v>3.125E-2</v>
      </c>
      <c r="O61" s="9">
        <f t="shared" si="35"/>
        <v>1.352539062500005E-2</v>
      </c>
      <c r="P61" s="9">
        <f t="shared" si="35"/>
        <v>1.3378906250000044E-2</v>
      </c>
      <c r="Q61" s="9">
        <f t="shared" si="35"/>
        <v>1.2441406249999974E-2</v>
      </c>
      <c r="R61" s="9">
        <f t="shared" si="35"/>
        <v>1.2314453124999923E-2</v>
      </c>
      <c r="S61" s="9">
        <f t="shared" si="35"/>
        <v>1.2226562499999954E-2</v>
      </c>
      <c r="T61" s="9">
        <f t="shared" si="35"/>
        <v>1.2128906250000009E-2</v>
      </c>
      <c r="U61" s="9">
        <f t="shared" si="35"/>
        <v>3.0078124999999289E-3</v>
      </c>
      <c r="V61" s="9">
        <f t="shared" si="35"/>
        <v>3.2910156250001363E-3</v>
      </c>
      <c r="W61" s="9">
        <f t="shared" si="35"/>
        <v>3.0468750000000114E-3</v>
      </c>
      <c r="X61" s="9">
        <f t="shared" si="35"/>
        <v>3.1542968749999345E-3</v>
      </c>
      <c r="Y61" s="9">
        <f t="shared" si="35"/>
        <v>3.0761718749999431E-3</v>
      </c>
      <c r="Z61" s="9">
        <f t="shared" si="35"/>
        <v>3.1152343749998521E-3</v>
      </c>
    </row>
    <row r="63" spans="1:26" x14ac:dyDescent="0.2">
      <c r="N63" s="9" t="s">
        <v>14</v>
      </c>
      <c r="R63" s="9" t="s">
        <v>60</v>
      </c>
    </row>
    <row r="64" spans="1:26" x14ac:dyDescent="0.2">
      <c r="M64" s="9" t="s">
        <v>61</v>
      </c>
      <c r="N64" s="9" t="s">
        <v>232</v>
      </c>
      <c r="O64" s="9" t="s">
        <v>233</v>
      </c>
      <c r="P64" s="9" t="s">
        <v>64</v>
      </c>
      <c r="Q64" s="9" t="s">
        <v>65</v>
      </c>
      <c r="R64" s="9" t="s">
        <v>62</v>
      </c>
      <c r="S64" s="9" t="s">
        <v>63</v>
      </c>
      <c r="T64" s="9" t="s">
        <v>64</v>
      </c>
      <c r="U64" s="9" t="s">
        <v>65</v>
      </c>
    </row>
    <row r="65" spans="13:21" x14ac:dyDescent="0.2">
      <c r="M65" s="9">
        <v>1</v>
      </c>
      <c r="N65" s="9">
        <f>B54</f>
        <v>0.318</v>
      </c>
      <c r="O65" s="9">
        <f>E54</f>
        <v>0.31090000000000001</v>
      </c>
      <c r="P65" s="9">
        <f>H54</f>
        <v>0.15939999999999999</v>
      </c>
      <c r="Q65" s="9">
        <f t="shared" ref="Q65:Q72" si="36">K54</f>
        <v>0.15570000000000001</v>
      </c>
      <c r="R65" s="9">
        <f>O54</f>
        <v>0.4328125000000016</v>
      </c>
      <c r="S65" s="9">
        <f>R54</f>
        <v>0.39406249999999754</v>
      </c>
      <c r="T65" s="9">
        <f>U54</f>
        <v>9.6249999999997726E-2</v>
      </c>
      <c r="U65" s="9">
        <f>X54</f>
        <v>0.1009374999999979</v>
      </c>
    </row>
    <row r="66" spans="13:21" x14ac:dyDescent="0.2">
      <c r="M66" s="9">
        <v>1</v>
      </c>
      <c r="N66" s="9">
        <f t="shared" ref="N66:N72" si="37">B55</f>
        <v>0.31719999999999998</v>
      </c>
      <c r="O66" s="9">
        <f t="shared" ref="O66:O72" si="38">E55</f>
        <v>0.31009999999999999</v>
      </c>
      <c r="P66" s="9">
        <f t="shared" ref="P66:P72" si="39">H55</f>
        <v>0.15740000000000001</v>
      </c>
      <c r="Q66" s="9">
        <f t="shared" si="36"/>
        <v>0.15529999999999999</v>
      </c>
      <c r="R66" s="9">
        <f>O55</f>
        <v>0.4328125000000016</v>
      </c>
      <c r="S66" s="9">
        <f t="shared" ref="S66:S72" si="40">R55</f>
        <v>0.39406249999999754</v>
      </c>
      <c r="T66" s="9">
        <f t="shared" ref="T66:T72" si="41">U55</f>
        <v>9.6249999999997726E-2</v>
      </c>
      <c r="U66" s="9">
        <f t="shared" ref="U66:U72" si="42">X55</f>
        <v>0.1009374999999979</v>
      </c>
    </row>
    <row r="67" spans="13:21" x14ac:dyDescent="0.2">
      <c r="M67" s="9">
        <v>1</v>
      </c>
      <c r="N67" s="9">
        <f t="shared" si="37"/>
        <v>0.3145</v>
      </c>
      <c r="O67" s="9">
        <f t="shared" si="38"/>
        <v>0.31140000000000001</v>
      </c>
      <c r="P67" s="9">
        <f t="shared" si="39"/>
        <v>0.15609999999999999</v>
      </c>
      <c r="Q67" s="9">
        <f t="shared" si="36"/>
        <v>0.1535</v>
      </c>
      <c r="R67" s="9">
        <f t="shared" ref="R67:R72" si="43">O56</f>
        <v>0.4328125000000016</v>
      </c>
      <c r="S67" s="9">
        <f t="shared" si="40"/>
        <v>0.39406249999999754</v>
      </c>
      <c r="T67" s="9">
        <f t="shared" si="41"/>
        <v>9.6249999999997726E-2</v>
      </c>
      <c r="U67" s="9">
        <f t="shared" si="42"/>
        <v>0.1009374999999979</v>
      </c>
    </row>
    <row r="68" spans="13:21" x14ac:dyDescent="0.2">
      <c r="M68" s="9">
        <v>0.5</v>
      </c>
      <c r="N68" s="9">
        <f t="shared" si="37"/>
        <v>0.13020000000000001</v>
      </c>
      <c r="O68" s="9">
        <f t="shared" si="38"/>
        <v>0.13250000000000001</v>
      </c>
      <c r="P68" s="9">
        <f>H57</f>
        <v>8.5000000000000006E-2</v>
      </c>
      <c r="Q68" s="9">
        <f t="shared" si="36"/>
        <v>8.6499999999999994E-2</v>
      </c>
      <c r="R68" s="9">
        <f t="shared" si="43"/>
        <v>0.2164062500000008</v>
      </c>
      <c r="S68" s="9">
        <f t="shared" si="40"/>
        <v>0.19703124999999877</v>
      </c>
      <c r="T68" s="9">
        <f t="shared" si="41"/>
        <v>4.8124999999998863E-2</v>
      </c>
      <c r="U68" s="9">
        <f t="shared" si="42"/>
        <v>5.0468749999998952E-2</v>
      </c>
    </row>
    <row r="69" spans="13:21" x14ac:dyDescent="0.2">
      <c r="M69" s="9">
        <v>0.25</v>
      </c>
      <c r="N69" s="9">
        <f t="shared" si="37"/>
        <v>7.7499999999999999E-2</v>
      </c>
      <c r="O69" s="9">
        <f t="shared" si="38"/>
        <v>7.6399999999999996E-2</v>
      </c>
      <c r="P69" s="9">
        <f t="shared" si="39"/>
        <v>5.3999999999999999E-2</v>
      </c>
      <c r="Q69" s="9">
        <f t="shared" si="36"/>
        <v>5.5899999999999998E-2</v>
      </c>
      <c r="R69" s="9">
        <f t="shared" si="43"/>
        <v>0.1082031250000004</v>
      </c>
      <c r="S69" s="9">
        <f t="shared" si="40"/>
        <v>9.8515624999999385E-2</v>
      </c>
      <c r="T69" s="9">
        <f t="shared" si="41"/>
        <v>2.4062499999999432E-2</v>
      </c>
      <c r="U69" s="9">
        <f t="shared" si="42"/>
        <v>2.5234374999999476E-2</v>
      </c>
    </row>
    <row r="70" spans="13:21" x14ac:dyDescent="0.2">
      <c r="M70" s="9">
        <v>0.125</v>
      </c>
      <c r="N70" s="9">
        <f t="shared" si="37"/>
        <v>5.28E-2</v>
      </c>
      <c r="O70" s="9">
        <f t="shared" si="38"/>
        <v>5.3100000000000001E-2</v>
      </c>
      <c r="P70" s="9">
        <f t="shared" si="39"/>
        <v>4.0899999999999999E-2</v>
      </c>
      <c r="Q70" s="9">
        <f t="shared" si="36"/>
        <v>4.24E-2</v>
      </c>
      <c r="R70" s="9">
        <f t="shared" si="43"/>
        <v>5.41015625000002E-2</v>
      </c>
      <c r="S70" s="9">
        <f t="shared" si="40"/>
        <v>4.9257812499999692E-2</v>
      </c>
      <c r="T70" s="9">
        <f t="shared" si="41"/>
        <v>1.2031249999999716E-2</v>
      </c>
      <c r="U70" s="9">
        <f t="shared" si="42"/>
        <v>1.2617187499999738E-2</v>
      </c>
    </row>
    <row r="71" spans="13:21" x14ac:dyDescent="0.2">
      <c r="M71" s="9">
        <v>6.25E-2</v>
      </c>
      <c r="N71" s="9">
        <f t="shared" si="37"/>
        <v>4.2599999999999999E-2</v>
      </c>
      <c r="O71" s="9">
        <f t="shared" si="38"/>
        <v>4.07E-2</v>
      </c>
      <c r="P71" s="9">
        <f t="shared" si="39"/>
        <v>3.7600000000000001E-2</v>
      </c>
      <c r="Q71" s="9">
        <f t="shared" si="36"/>
        <v>3.6299999999999999E-2</v>
      </c>
      <c r="R71" s="9">
        <f t="shared" si="43"/>
        <v>2.70507812500001E-2</v>
      </c>
      <c r="S71" s="9">
        <f t="shared" si="40"/>
        <v>2.4628906249999846E-2</v>
      </c>
      <c r="T71" s="9">
        <f t="shared" si="41"/>
        <v>6.0156249999998579E-3</v>
      </c>
      <c r="U71" s="9">
        <f t="shared" si="42"/>
        <v>6.308593749999869E-3</v>
      </c>
    </row>
    <row r="72" spans="13:21" x14ac:dyDescent="0.2">
      <c r="M72" s="9">
        <v>3.125E-2</v>
      </c>
      <c r="N72" s="9">
        <f t="shared" si="37"/>
        <v>3.8100000000000002E-2</v>
      </c>
      <c r="O72" s="9">
        <f t="shared" si="38"/>
        <v>3.9E-2</v>
      </c>
      <c r="P72" s="9">
        <f t="shared" si="39"/>
        <v>3.5200000000000002E-2</v>
      </c>
      <c r="Q72" s="9">
        <f t="shared" si="36"/>
        <v>3.5900000000000001E-2</v>
      </c>
      <c r="R72" s="9">
        <f t="shared" si="43"/>
        <v>1.352539062500005E-2</v>
      </c>
      <c r="S72" s="9">
        <f t="shared" si="40"/>
        <v>1.2314453124999923E-2</v>
      </c>
      <c r="T72" s="9">
        <f t="shared" si="41"/>
        <v>3.0078124999999289E-3</v>
      </c>
      <c r="U72" s="9">
        <f t="shared" si="42"/>
        <v>3.1542968749999345E-3</v>
      </c>
    </row>
    <row r="73" spans="13:21" x14ac:dyDescent="0.2">
      <c r="M73" s="9">
        <v>1</v>
      </c>
      <c r="N73" s="9">
        <f t="shared" ref="N73:N80" si="44">C54</f>
        <v>0.3301</v>
      </c>
      <c r="O73" s="9">
        <f t="shared" ref="O73:O80" si="45">F54</f>
        <v>0.29809999999999998</v>
      </c>
      <c r="P73" s="9">
        <f t="shared" ref="P73:P80" si="46">I54</f>
        <v>0.16139999999999999</v>
      </c>
      <c r="Q73" s="9">
        <f t="shared" ref="Q73:Q80" si="47">L54</f>
        <v>0.1623</v>
      </c>
      <c r="R73" s="9">
        <f>P54</f>
        <v>0.42812500000000142</v>
      </c>
      <c r="S73" s="9">
        <f>S54</f>
        <v>0.39124999999999854</v>
      </c>
      <c r="T73" s="9">
        <f>V54</f>
        <v>0.10531250000000436</v>
      </c>
      <c r="U73" s="9">
        <f>Y54</f>
        <v>9.8437499999998179E-2</v>
      </c>
    </row>
    <row r="74" spans="13:21" x14ac:dyDescent="0.2">
      <c r="M74" s="9">
        <v>1</v>
      </c>
      <c r="N74" s="9">
        <f t="shared" si="44"/>
        <v>0.33</v>
      </c>
      <c r="O74" s="9">
        <f t="shared" si="45"/>
        <v>0.29630000000000001</v>
      </c>
      <c r="P74" s="9">
        <f t="shared" si="46"/>
        <v>0.15939999999999999</v>
      </c>
      <c r="Q74" s="9">
        <f t="shared" si="47"/>
        <v>0.1583</v>
      </c>
      <c r="R74" s="9">
        <f t="shared" ref="R74:R80" si="48">P55</f>
        <v>0.42812500000000142</v>
      </c>
      <c r="S74" s="9">
        <f t="shared" ref="S74:S80" si="49">S55</f>
        <v>0.39124999999999854</v>
      </c>
      <c r="T74" s="9">
        <f t="shared" ref="T74:T80" si="50">V55</f>
        <v>0.10531250000000436</v>
      </c>
      <c r="U74" s="9">
        <f t="shared" ref="U74:U80" si="51">Y55</f>
        <v>9.8437499999998179E-2</v>
      </c>
    </row>
    <row r="75" spans="13:21" x14ac:dyDescent="0.2">
      <c r="M75" s="9">
        <v>1</v>
      </c>
      <c r="N75" s="9">
        <f t="shared" si="44"/>
        <v>0.33489999999999998</v>
      </c>
      <c r="O75" s="9">
        <f t="shared" si="45"/>
        <v>0.28670000000000001</v>
      </c>
      <c r="P75" s="9">
        <f t="shared" si="46"/>
        <v>0.15679999999999999</v>
      </c>
      <c r="Q75" s="9">
        <f t="shared" si="47"/>
        <v>0.1542</v>
      </c>
      <c r="R75" s="9">
        <f t="shared" si="48"/>
        <v>0.42812500000000142</v>
      </c>
      <c r="S75" s="9">
        <f t="shared" si="49"/>
        <v>0.39124999999999854</v>
      </c>
      <c r="T75" s="9">
        <f t="shared" si="50"/>
        <v>0.10531250000000436</v>
      </c>
      <c r="U75" s="9">
        <f t="shared" si="51"/>
        <v>9.8437499999998179E-2</v>
      </c>
    </row>
    <row r="76" spans="13:21" x14ac:dyDescent="0.2">
      <c r="M76" s="9">
        <v>0.5</v>
      </c>
      <c r="N76" s="9">
        <f t="shared" si="44"/>
        <v>0.14380000000000001</v>
      </c>
      <c r="O76" s="9">
        <f t="shared" si="45"/>
        <v>0.13070000000000001</v>
      </c>
      <c r="P76" s="9">
        <f t="shared" si="46"/>
        <v>8.6300000000000002E-2</v>
      </c>
      <c r="Q76" s="9">
        <f t="shared" si="47"/>
        <v>8.7900000000000006E-2</v>
      </c>
      <c r="R76" s="9">
        <f t="shared" si="48"/>
        <v>0.21406250000000071</v>
      </c>
      <c r="S76" s="9">
        <f t="shared" si="49"/>
        <v>0.19562499999999927</v>
      </c>
      <c r="T76" s="9">
        <f t="shared" si="50"/>
        <v>5.265625000000218E-2</v>
      </c>
      <c r="U76" s="9">
        <f t="shared" si="51"/>
        <v>4.921874999999909E-2</v>
      </c>
    </row>
    <row r="77" spans="13:21" x14ac:dyDescent="0.2">
      <c r="M77" s="9">
        <v>0.25</v>
      </c>
      <c r="N77" s="9">
        <f t="shared" si="44"/>
        <v>8.0799999999999997E-2</v>
      </c>
      <c r="O77" s="9">
        <f t="shared" si="45"/>
        <v>7.6200000000000004E-2</v>
      </c>
      <c r="P77" s="9">
        <f t="shared" si="46"/>
        <v>5.5199999999999999E-2</v>
      </c>
      <c r="Q77" s="9">
        <f t="shared" si="47"/>
        <v>5.6500000000000002E-2</v>
      </c>
      <c r="R77" s="9">
        <f t="shared" si="48"/>
        <v>0.10703125000000036</v>
      </c>
      <c r="S77" s="9">
        <f t="shared" si="49"/>
        <v>9.7812499999999636E-2</v>
      </c>
      <c r="T77" s="9">
        <f t="shared" si="50"/>
        <v>2.632812500000109E-2</v>
      </c>
      <c r="U77" s="9">
        <f t="shared" si="51"/>
        <v>2.4609374999999545E-2</v>
      </c>
    </row>
    <row r="78" spans="13:21" x14ac:dyDescent="0.2">
      <c r="M78" s="9">
        <v>0.125</v>
      </c>
      <c r="N78" s="9">
        <f t="shared" si="44"/>
        <v>5.3999999999999999E-2</v>
      </c>
      <c r="O78" s="9">
        <f t="shared" si="45"/>
        <v>5.2900000000000003E-2</v>
      </c>
      <c r="P78" s="9">
        <f t="shared" si="46"/>
        <v>4.1200000000000001E-2</v>
      </c>
      <c r="Q78" s="9">
        <f t="shared" si="47"/>
        <v>4.2999999999999997E-2</v>
      </c>
      <c r="R78" s="9">
        <f t="shared" si="48"/>
        <v>5.3515625000000178E-2</v>
      </c>
      <c r="S78" s="9">
        <f t="shared" si="49"/>
        <v>4.8906249999999818E-2</v>
      </c>
      <c r="T78" s="9">
        <f t="shared" si="50"/>
        <v>1.3164062500000545E-2</v>
      </c>
      <c r="U78" s="9">
        <f t="shared" si="51"/>
        <v>1.2304687499999772E-2</v>
      </c>
    </row>
    <row r="79" spans="13:21" x14ac:dyDescent="0.2">
      <c r="M79" s="9">
        <v>6.25E-2</v>
      </c>
      <c r="N79" s="9">
        <f t="shared" si="44"/>
        <v>4.1399999999999999E-2</v>
      </c>
      <c r="O79" s="9">
        <f t="shared" si="45"/>
        <v>4.1099999999999998E-2</v>
      </c>
      <c r="P79" s="9">
        <f t="shared" si="46"/>
        <v>3.7100000000000001E-2</v>
      </c>
      <c r="Q79" s="9">
        <f t="shared" si="47"/>
        <v>3.78E-2</v>
      </c>
      <c r="R79" s="9">
        <f t="shared" si="48"/>
        <v>2.6757812500000089E-2</v>
      </c>
      <c r="S79" s="9">
        <f t="shared" si="49"/>
        <v>2.4453124999999909E-2</v>
      </c>
      <c r="T79" s="9">
        <f t="shared" si="50"/>
        <v>6.5820312500002726E-3</v>
      </c>
      <c r="U79" s="9">
        <f t="shared" si="51"/>
        <v>6.1523437499998862E-3</v>
      </c>
    </row>
    <row r="80" spans="13:21" x14ac:dyDescent="0.2">
      <c r="M80" s="9">
        <v>3.125E-2</v>
      </c>
      <c r="N80" s="9">
        <f t="shared" si="44"/>
        <v>3.8600000000000002E-2</v>
      </c>
      <c r="O80" s="9">
        <f t="shared" si="45"/>
        <v>3.7900000000000003E-2</v>
      </c>
      <c r="P80" s="9">
        <f t="shared" si="46"/>
        <v>3.8100000000000002E-2</v>
      </c>
      <c r="Q80" s="9">
        <f t="shared" si="47"/>
        <v>3.6200000000000003E-2</v>
      </c>
      <c r="R80" s="9">
        <f t="shared" si="48"/>
        <v>1.3378906250000044E-2</v>
      </c>
      <c r="S80" s="9">
        <f t="shared" si="49"/>
        <v>1.2226562499999954E-2</v>
      </c>
      <c r="T80" s="9">
        <f t="shared" si="50"/>
        <v>3.2910156250001363E-3</v>
      </c>
      <c r="U80" s="9">
        <f t="shared" si="51"/>
        <v>3.0761718749999431E-3</v>
      </c>
    </row>
    <row r="81" spans="1:21" x14ac:dyDescent="0.2">
      <c r="M81" s="9">
        <v>1</v>
      </c>
      <c r="N81" s="9">
        <f t="shared" ref="N81:N88" si="52">D54</f>
        <v>0.31119999999999998</v>
      </c>
      <c r="O81" s="9">
        <f t="shared" ref="O81:O88" si="53">G54</f>
        <v>0.31109999999999999</v>
      </c>
      <c r="P81" s="9">
        <f t="shared" ref="P81:P88" si="54">J54</f>
        <v>0.16320000000000001</v>
      </c>
      <c r="Q81" s="9">
        <f t="shared" ref="Q81:Q88" si="55">M54</f>
        <v>0.15890000000000001</v>
      </c>
      <c r="R81" s="9">
        <f>Q54</f>
        <v>0.39812499999999917</v>
      </c>
      <c r="S81" s="9">
        <f>T54</f>
        <v>0.38812500000000028</v>
      </c>
      <c r="T81" s="9">
        <f>W54</f>
        <v>9.7500000000000364E-2</v>
      </c>
      <c r="U81" s="9">
        <f>Z54</f>
        <v>9.9687499999995266E-2</v>
      </c>
    </row>
    <row r="82" spans="1:21" x14ac:dyDescent="0.2">
      <c r="M82" s="9">
        <v>1</v>
      </c>
      <c r="N82" s="9">
        <f t="shared" si="52"/>
        <v>0.30909999999999999</v>
      </c>
      <c r="O82" s="9">
        <f t="shared" si="53"/>
        <v>0.28070000000000001</v>
      </c>
      <c r="P82" s="9">
        <f t="shared" si="54"/>
        <v>0.16009999999999999</v>
      </c>
      <c r="Q82" s="9">
        <f t="shared" si="55"/>
        <v>0.15629999999999999</v>
      </c>
      <c r="R82" s="9">
        <f t="shared" ref="R82:R88" si="56">Q55</f>
        <v>0.39812499999999917</v>
      </c>
      <c r="S82" s="9">
        <f t="shared" ref="S82:S88" si="57">T55</f>
        <v>0.38812500000000028</v>
      </c>
      <c r="T82" s="9">
        <f t="shared" ref="T82:T88" si="58">W55</f>
        <v>9.7500000000000364E-2</v>
      </c>
      <c r="U82" s="9">
        <f t="shared" ref="U82:U88" si="59">Z55</f>
        <v>9.9687499999995266E-2</v>
      </c>
    </row>
    <row r="83" spans="1:21" ht="15" x14ac:dyDescent="0.25">
      <c r="A83" s="4" t="s">
        <v>29</v>
      </c>
      <c r="B83" s="4"/>
      <c r="C83" s="4"/>
      <c r="D83" s="4"/>
      <c r="E83" s="4"/>
      <c r="F83" s="4"/>
      <c r="G83" s="4"/>
      <c r="H83" s="4"/>
      <c r="M83" s="9">
        <v>1</v>
      </c>
      <c r="N83" s="9">
        <f t="shared" si="52"/>
        <v>0.30980000000000002</v>
      </c>
      <c r="O83" s="9">
        <f t="shared" si="53"/>
        <v>0.27629999999999999</v>
      </c>
      <c r="P83" s="9">
        <f t="shared" si="54"/>
        <v>0.15870000000000001</v>
      </c>
      <c r="Q83" s="9">
        <f t="shared" si="55"/>
        <v>0.15340000000000001</v>
      </c>
      <c r="R83" s="9">
        <f t="shared" si="56"/>
        <v>0.39812499999999917</v>
      </c>
      <c r="S83" s="9">
        <f t="shared" si="57"/>
        <v>0.38812500000000028</v>
      </c>
      <c r="T83" s="9">
        <f t="shared" si="58"/>
        <v>9.7500000000000364E-2</v>
      </c>
      <c r="U83" s="9">
        <f t="shared" si="59"/>
        <v>9.9687499999995266E-2</v>
      </c>
    </row>
    <row r="84" spans="1:21" ht="15" x14ac:dyDescent="0.25">
      <c r="A84" s="4"/>
      <c r="B84" s="4"/>
      <c r="C84" s="4"/>
      <c r="D84" s="4"/>
      <c r="E84" s="4"/>
      <c r="F84" s="4"/>
      <c r="G84" s="4"/>
      <c r="H84" s="4"/>
      <c r="M84" s="9">
        <v>0.5</v>
      </c>
      <c r="N84" s="9">
        <f t="shared" si="52"/>
        <v>0.14069999999999999</v>
      </c>
      <c r="O84" s="9">
        <f t="shared" si="53"/>
        <v>0.1232</v>
      </c>
      <c r="P84" s="9">
        <f t="shared" si="54"/>
        <v>8.9300000000000004E-2</v>
      </c>
      <c r="Q84" s="9">
        <f t="shared" si="55"/>
        <v>8.8900000000000007E-2</v>
      </c>
      <c r="R84" s="9">
        <f t="shared" si="56"/>
        <v>0.19906249999999959</v>
      </c>
      <c r="S84" s="9">
        <f t="shared" si="57"/>
        <v>0.19406250000000014</v>
      </c>
      <c r="T84" s="9">
        <f t="shared" si="58"/>
        <v>4.8750000000000182E-2</v>
      </c>
      <c r="U84" s="9">
        <f t="shared" si="59"/>
        <v>4.9843749999997633E-2</v>
      </c>
    </row>
    <row r="85" spans="1:21" ht="15" x14ac:dyDescent="0.25">
      <c r="A85" s="4" t="s">
        <v>31</v>
      </c>
      <c r="B85" s="4" t="s">
        <v>57</v>
      </c>
      <c r="C85" s="4"/>
      <c r="D85" s="4"/>
      <c r="E85" s="4" t="s">
        <v>30</v>
      </c>
      <c r="F85" s="4"/>
      <c r="G85" s="4"/>
      <c r="H85" s="4" t="s">
        <v>59</v>
      </c>
      <c r="I85" s="9" t="s">
        <v>58</v>
      </c>
      <c r="M85" s="9">
        <v>0.25</v>
      </c>
      <c r="N85" s="9">
        <f t="shared" si="52"/>
        <v>7.7799999999999994E-2</v>
      </c>
      <c r="O85" s="9">
        <f t="shared" si="53"/>
        <v>7.2599999999999998E-2</v>
      </c>
      <c r="P85" s="9">
        <f t="shared" si="54"/>
        <v>5.7000000000000002E-2</v>
      </c>
      <c r="Q85" s="9">
        <f t="shared" si="55"/>
        <v>5.6000000000000001E-2</v>
      </c>
      <c r="R85" s="9">
        <f t="shared" si="56"/>
        <v>9.9531249999999793E-2</v>
      </c>
      <c r="S85" s="9">
        <f t="shared" si="57"/>
        <v>9.7031250000000069E-2</v>
      </c>
      <c r="T85" s="9">
        <f t="shared" si="58"/>
        <v>2.4375000000000091E-2</v>
      </c>
      <c r="U85" s="9">
        <f t="shared" si="59"/>
        <v>2.4921874999998817E-2</v>
      </c>
    </row>
    <row r="86" spans="1:21" ht="15" x14ac:dyDescent="0.25">
      <c r="A86" s="4">
        <v>1</v>
      </c>
      <c r="B86" s="7">
        <v>6.7164000000000001</v>
      </c>
      <c r="C86" s="7">
        <v>6.7164999999999999</v>
      </c>
      <c r="D86" s="7"/>
      <c r="E86" s="7">
        <v>6.7857000000000003</v>
      </c>
      <c r="F86" s="7">
        <v>6.7857000000000003</v>
      </c>
      <c r="G86" s="7"/>
      <c r="H86" s="4">
        <f>(AVERAGE(E86:G86)-AVERAGE(B86:D86))*1000</f>
        <v>69.250000000000256</v>
      </c>
      <c r="I86" s="9">
        <f>H86/160</f>
        <v>0.4328125000000016</v>
      </c>
      <c r="M86" s="9">
        <v>0.125</v>
      </c>
      <c r="N86" s="9">
        <f t="shared" si="52"/>
        <v>5.2499999999999998E-2</v>
      </c>
      <c r="O86" s="9">
        <f t="shared" si="53"/>
        <v>4.9799999999999997E-2</v>
      </c>
      <c r="P86" s="9">
        <f t="shared" si="54"/>
        <v>4.24E-2</v>
      </c>
      <c r="Q86" s="9">
        <f t="shared" si="55"/>
        <v>4.2999999999999997E-2</v>
      </c>
      <c r="R86" s="9">
        <f t="shared" si="56"/>
        <v>4.9765624999999897E-2</v>
      </c>
      <c r="S86" s="9">
        <f t="shared" si="57"/>
        <v>4.8515625000000034E-2</v>
      </c>
      <c r="T86" s="9">
        <f t="shared" si="58"/>
        <v>1.2187500000000046E-2</v>
      </c>
      <c r="U86" s="9">
        <f t="shared" si="59"/>
        <v>1.2460937499999408E-2</v>
      </c>
    </row>
    <row r="87" spans="1:21" ht="15" x14ac:dyDescent="0.25">
      <c r="A87" s="4">
        <v>2</v>
      </c>
      <c r="B87" s="7">
        <v>6.6665999999999999</v>
      </c>
      <c r="C87" s="7">
        <v>6.6664000000000003</v>
      </c>
      <c r="D87" s="7"/>
      <c r="E87" s="7">
        <v>6.7350000000000003</v>
      </c>
      <c r="F87" s="7">
        <v>6.7350000000000003</v>
      </c>
      <c r="G87" s="7"/>
      <c r="H87" s="4">
        <f t="shared" ref="H87:H97" si="60">(AVERAGE(E87:G87)-AVERAGE(B87:D87))*1000</f>
        <v>68.500000000000227</v>
      </c>
      <c r="I87" s="19">
        <f t="shared" ref="I87:I91" si="61">H87/160</f>
        <v>0.42812500000000142</v>
      </c>
      <c r="M87" s="9">
        <v>6.25E-2</v>
      </c>
      <c r="N87" s="9">
        <f t="shared" si="52"/>
        <v>4.1300000000000003E-2</v>
      </c>
      <c r="O87" s="9">
        <f t="shared" si="53"/>
        <v>4.0899999999999999E-2</v>
      </c>
      <c r="P87" s="9">
        <f t="shared" si="54"/>
        <v>3.6600000000000001E-2</v>
      </c>
      <c r="Q87" s="9">
        <f t="shared" si="55"/>
        <v>3.61E-2</v>
      </c>
      <c r="R87" s="9">
        <f t="shared" si="56"/>
        <v>2.4882812499999948E-2</v>
      </c>
      <c r="S87" s="9">
        <f t="shared" si="57"/>
        <v>2.4257812500000017E-2</v>
      </c>
      <c r="T87" s="9">
        <f t="shared" si="58"/>
        <v>6.0937500000000228E-3</v>
      </c>
      <c r="U87" s="9">
        <f t="shared" si="59"/>
        <v>6.2304687499997041E-3</v>
      </c>
    </row>
    <row r="88" spans="1:21" ht="15" x14ac:dyDescent="0.25">
      <c r="A88" s="4">
        <v>3</v>
      </c>
      <c r="B88" s="7">
        <v>6.6825000000000001</v>
      </c>
      <c r="C88" s="7">
        <v>6.6825999999999999</v>
      </c>
      <c r="D88" s="7"/>
      <c r="E88" s="7">
        <v>6.7462999999999997</v>
      </c>
      <c r="F88" s="7">
        <v>6.7462</v>
      </c>
      <c r="G88" s="7"/>
      <c r="H88" s="4">
        <f t="shared" si="60"/>
        <v>63.699999999999868</v>
      </c>
      <c r="I88" s="9">
        <f t="shared" si="61"/>
        <v>0.39812499999999917</v>
      </c>
      <c r="M88" s="9">
        <v>3.125E-2</v>
      </c>
      <c r="N88" s="9">
        <f t="shared" si="52"/>
        <v>3.7999999999999999E-2</v>
      </c>
      <c r="O88" s="9">
        <f t="shared" si="53"/>
        <v>3.7900000000000003E-2</v>
      </c>
      <c r="P88" s="9">
        <f t="shared" si="54"/>
        <v>3.5799999999999998E-2</v>
      </c>
      <c r="Q88" s="9">
        <f t="shared" si="55"/>
        <v>3.6299999999999999E-2</v>
      </c>
      <c r="R88" s="9">
        <f t="shared" si="56"/>
        <v>1.2441406249999974E-2</v>
      </c>
      <c r="S88" s="9">
        <f t="shared" si="57"/>
        <v>1.2128906250000009E-2</v>
      </c>
      <c r="T88" s="9">
        <f t="shared" si="58"/>
        <v>3.0468750000000114E-3</v>
      </c>
      <c r="U88" s="9">
        <f t="shared" si="59"/>
        <v>3.1152343749998521E-3</v>
      </c>
    </row>
    <row r="89" spans="1:21" ht="15" x14ac:dyDescent="0.25">
      <c r="A89" s="4">
        <v>4</v>
      </c>
      <c r="B89" s="7">
        <v>6.7123999999999997</v>
      </c>
      <c r="C89" s="7">
        <v>6.7125000000000004</v>
      </c>
      <c r="D89" s="7"/>
      <c r="E89" s="7">
        <v>6.7755000000000001</v>
      </c>
      <c r="F89" s="7">
        <v>6.7755000000000001</v>
      </c>
      <c r="G89" s="7"/>
      <c r="H89" s="4">
        <f t="shared" si="60"/>
        <v>63.049999999999606</v>
      </c>
      <c r="I89" s="9">
        <f t="shared" si="61"/>
        <v>0.39406249999999754</v>
      </c>
    </row>
    <row r="90" spans="1:21" ht="15" x14ac:dyDescent="0.25">
      <c r="A90" s="4">
        <v>5</v>
      </c>
      <c r="B90" s="7">
        <v>6.6455000000000002</v>
      </c>
      <c r="C90" s="7">
        <v>6.6455000000000002</v>
      </c>
      <c r="D90" s="7"/>
      <c r="E90" s="7">
        <v>6.7081</v>
      </c>
      <c r="F90" s="7">
        <v>6.7081</v>
      </c>
      <c r="G90" s="7"/>
      <c r="H90" s="4">
        <f t="shared" si="60"/>
        <v>62.599999999999767</v>
      </c>
      <c r="I90" s="9">
        <f>H90/160</f>
        <v>0.39124999999999854</v>
      </c>
    </row>
    <row r="91" spans="1:21" ht="15" x14ac:dyDescent="0.25">
      <c r="A91" s="4">
        <v>6</v>
      </c>
      <c r="B91" s="7">
        <v>6.6852</v>
      </c>
      <c r="C91" s="7">
        <v>6.6852</v>
      </c>
      <c r="D91" s="7"/>
      <c r="E91" s="7">
        <v>6.7473000000000001</v>
      </c>
      <c r="F91" s="7">
        <v>6.7473000000000001</v>
      </c>
      <c r="G91" s="7"/>
      <c r="H91" s="4">
        <f t="shared" si="60"/>
        <v>62.100000000000044</v>
      </c>
      <c r="I91" s="9">
        <f t="shared" si="61"/>
        <v>0.38812500000000028</v>
      </c>
    </row>
    <row r="92" spans="1:21" ht="15" x14ac:dyDescent="0.25">
      <c r="A92" s="4">
        <v>7</v>
      </c>
      <c r="B92" s="7">
        <v>6.6872999999999996</v>
      </c>
      <c r="C92" s="7">
        <v>6.6874000000000002</v>
      </c>
      <c r="D92" s="7"/>
      <c r="E92" s="7">
        <v>6.7023000000000001</v>
      </c>
      <c r="F92" s="7">
        <v>6.7031999999999998</v>
      </c>
      <c r="G92" s="7"/>
      <c r="H92" s="4">
        <f t="shared" si="60"/>
        <v>15.399999999999636</v>
      </c>
      <c r="I92" s="9">
        <f>H92/160</f>
        <v>9.6249999999997726E-2</v>
      </c>
    </row>
    <row r="93" spans="1:21" ht="15" x14ac:dyDescent="0.25">
      <c r="A93" s="4">
        <v>8</v>
      </c>
      <c r="B93" s="7">
        <v>6.6727999999999996</v>
      </c>
      <c r="C93" s="7">
        <v>6.6727999999999996</v>
      </c>
      <c r="D93" s="7"/>
      <c r="E93" s="7">
        <v>6.6897000000000002</v>
      </c>
      <c r="F93" s="7">
        <v>6.6896000000000004</v>
      </c>
      <c r="G93" s="7"/>
      <c r="H93" s="4">
        <f t="shared" si="60"/>
        <v>16.850000000000698</v>
      </c>
      <c r="I93" s="9">
        <f t="shared" ref="I93:I97" si="62">H93/160</f>
        <v>0.10531250000000436</v>
      </c>
    </row>
    <row r="94" spans="1:21" ht="15" x14ac:dyDescent="0.25">
      <c r="A94" s="4">
        <v>9</v>
      </c>
      <c r="B94" s="7">
        <v>6.6623000000000001</v>
      </c>
      <c r="C94" s="7">
        <v>6.6623000000000001</v>
      </c>
      <c r="D94" s="7"/>
      <c r="E94" s="7">
        <v>6.6779000000000002</v>
      </c>
      <c r="F94" s="7">
        <v>6.6779000000000002</v>
      </c>
      <c r="G94" s="7"/>
      <c r="H94" s="4">
        <f t="shared" si="60"/>
        <v>15.600000000000058</v>
      </c>
      <c r="I94" s="9">
        <f t="shared" si="62"/>
        <v>9.7500000000000364E-2</v>
      </c>
    </row>
    <row r="95" spans="1:21" ht="15" x14ac:dyDescent="0.25">
      <c r="A95" s="4">
        <v>10</v>
      </c>
      <c r="B95" s="7">
        <v>6.6600999999999999</v>
      </c>
      <c r="C95" s="7">
        <v>6.6600999999999999</v>
      </c>
      <c r="D95" s="7"/>
      <c r="E95" s="7">
        <v>6.6763000000000003</v>
      </c>
      <c r="F95" s="7">
        <v>6.6761999999999997</v>
      </c>
      <c r="G95" s="7"/>
      <c r="H95" s="4">
        <f>(AVERAGE(E95:G95)-AVERAGE(B95:D95))*1000</f>
        <v>16.149999999999665</v>
      </c>
      <c r="I95" s="9">
        <f t="shared" si="62"/>
        <v>0.1009374999999979</v>
      </c>
    </row>
    <row r="96" spans="1:21" ht="15" x14ac:dyDescent="0.25">
      <c r="A96" s="4">
        <v>11</v>
      </c>
      <c r="B96" s="7">
        <v>6.6917</v>
      </c>
      <c r="C96" s="7">
        <v>6.6917</v>
      </c>
      <c r="D96" s="7"/>
      <c r="E96" s="7">
        <v>6.7073999999999998</v>
      </c>
      <c r="F96" s="7">
        <v>6.7074999999999996</v>
      </c>
      <c r="G96" s="7"/>
      <c r="H96" s="4">
        <f t="shared" si="60"/>
        <v>15.749999999999709</v>
      </c>
      <c r="I96" s="9">
        <f t="shared" si="62"/>
        <v>9.8437499999998179E-2</v>
      </c>
    </row>
    <row r="97" spans="1:19" ht="15" x14ac:dyDescent="0.25">
      <c r="A97" s="4">
        <v>12</v>
      </c>
      <c r="B97" s="7">
        <v>6.6752000000000002</v>
      </c>
      <c r="C97" s="7">
        <v>6.6750999999999996</v>
      </c>
      <c r="D97" s="7"/>
      <c r="E97" s="7">
        <v>6.6910999999999996</v>
      </c>
      <c r="F97" s="7">
        <v>6.6910999999999996</v>
      </c>
      <c r="G97" s="7"/>
      <c r="H97" s="4">
        <f t="shared" si="60"/>
        <v>15.949999999999243</v>
      </c>
      <c r="I97" s="9">
        <f t="shared" si="62"/>
        <v>9.9687499999995266E-2</v>
      </c>
    </row>
    <row r="99" spans="1:19" x14ac:dyDescent="0.2">
      <c r="A99" s="9" t="s">
        <v>86</v>
      </c>
    </row>
    <row r="101" spans="1:19" x14ac:dyDescent="0.2">
      <c r="A101" s="9" t="str">
        <f>A4</f>
        <v>Date</v>
      </c>
      <c r="B101" s="9" t="str">
        <f t="shared" ref="B101:N101" si="63">B4</f>
        <v>Time</v>
      </c>
      <c r="C101" s="9" t="str">
        <f t="shared" si="63"/>
        <v>Hour</v>
      </c>
      <c r="D101" s="9" t="str">
        <f t="shared" si="63"/>
        <v>Culture 1</v>
      </c>
      <c r="E101" s="9" t="str">
        <f t="shared" si="63"/>
        <v>Culture 2</v>
      </c>
      <c r="F101" s="9" t="str">
        <f t="shared" si="63"/>
        <v>Culture 3</v>
      </c>
      <c r="G101" s="9" t="str">
        <f t="shared" si="63"/>
        <v>Culture 4</v>
      </c>
      <c r="H101" s="9" t="str">
        <f t="shared" si="63"/>
        <v>Culture 5</v>
      </c>
      <c r="I101" s="9" t="str">
        <f t="shared" si="63"/>
        <v>Culture 6</v>
      </c>
      <c r="J101" s="9" t="str">
        <f t="shared" si="63"/>
        <v>Culture 7</v>
      </c>
      <c r="K101" s="9" t="str">
        <f t="shared" si="63"/>
        <v>Culture 8</v>
      </c>
      <c r="L101" s="9" t="str">
        <f t="shared" si="63"/>
        <v>Culture 9</v>
      </c>
      <c r="M101" s="9" t="str">
        <f t="shared" si="63"/>
        <v>Culture 10</v>
      </c>
      <c r="N101" s="9" t="str">
        <f t="shared" si="63"/>
        <v>Culture 11</v>
      </c>
      <c r="O101" s="9" t="str">
        <f>O4</f>
        <v>Culture 12</v>
      </c>
    </row>
    <row r="102" spans="1:19" x14ac:dyDescent="0.2">
      <c r="A102" s="10">
        <f>A5</f>
        <v>41661</v>
      </c>
      <c r="B102" s="22">
        <f>B5</f>
        <v>0.4375</v>
      </c>
      <c r="C102" s="11">
        <f>C5</f>
        <v>0</v>
      </c>
      <c r="D102" s="15">
        <f>0.7565*D5-0.02</f>
        <v>9.1936783333333313E-2</v>
      </c>
      <c r="E102" s="15">
        <f t="shared" ref="E102:O102" si="64">0.7565*E5-0.02</f>
        <v>7.8370216666666659E-2</v>
      </c>
      <c r="F102" s="15">
        <f t="shared" si="64"/>
        <v>7.6781566666666662E-2</v>
      </c>
      <c r="G102" s="15">
        <f t="shared" si="64"/>
        <v>7.9025849999999981E-2</v>
      </c>
      <c r="H102" s="15">
        <f t="shared" si="64"/>
        <v>7.1965183333333321E-2</v>
      </c>
      <c r="I102" s="15">
        <f t="shared" si="64"/>
        <v>7.8042400000000012E-2</v>
      </c>
      <c r="J102" s="15">
        <f t="shared" si="64"/>
        <v>7.4234683333333329E-2</v>
      </c>
      <c r="K102" s="15">
        <f t="shared" si="64"/>
        <v>7.779023333333332E-2</v>
      </c>
      <c r="L102" s="15">
        <f t="shared" si="64"/>
        <v>7.7689366666666648E-2</v>
      </c>
      <c r="M102" s="15">
        <f t="shared" si="64"/>
        <v>7.8319783333333323E-2</v>
      </c>
      <c r="N102" s="15">
        <f t="shared" si="64"/>
        <v>8.1648383333333324E-2</v>
      </c>
      <c r="O102" s="15">
        <f t="shared" si="64"/>
        <v>7.6378099999999977E-2</v>
      </c>
    </row>
    <row r="103" spans="1:19" x14ac:dyDescent="0.2">
      <c r="A103" s="10">
        <f t="shared" ref="A103:C103" si="65">A6</f>
        <v>41662</v>
      </c>
      <c r="B103" s="22">
        <f t="shared" si="65"/>
        <v>0.4375</v>
      </c>
      <c r="C103" s="11">
        <f t="shared" si="65"/>
        <v>24</v>
      </c>
      <c r="D103" s="15">
        <f>1.3872*D6-0.0187</f>
        <v>0.31108368000000003</v>
      </c>
      <c r="E103" s="15">
        <f t="shared" ref="E103:I103" si="66">1.3872*E6-0.0187</f>
        <v>0.31607759999999996</v>
      </c>
      <c r="F103" s="15">
        <f t="shared" si="66"/>
        <v>0.31681744000000001</v>
      </c>
      <c r="G103" s="15">
        <f t="shared" si="66"/>
        <v>0.29961616000000002</v>
      </c>
      <c r="H103" s="15">
        <f t="shared" si="66"/>
        <v>0.31062128000000006</v>
      </c>
      <c r="I103" s="15">
        <f t="shared" si="66"/>
        <v>0.31302575999999999</v>
      </c>
      <c r="J103" s="15">
        <f t="shared" ref="J103:O103" si="67">0.7565*J6-0.02</f>
        <v>7.930323333333332E-2</v>
      </c>
      <c r="K103" s="15">
        <f t="shared" si="67"/>
        <v>8.1295350000000002E-2</v>
      </c>
      <c r="L103" s="15">
        <f t="shared" si="67"/>
        <v>8.1900549999999975E-2</v>
      </c>
      <c r="M103" s="15">
        <f t="shared" si="67"/>
        <v>8.0211033333333306E-2</v>
      </c>
      <c r="N103" s="15">
        <f t="shared" si="67"/>
        <v>8.1194483333333331E-2</v>
      </c>
      <c r="O103" s="15">
        <f t="shared" si="67"/>
        <v>7.8874550000000002E-2</v>
      </c>
    </row>
    <row r="104" spans="1:19" x14ac:dyDescent="0.2">
      <c r="A104" s="10">
        <f t="shared" ref="A104:C104" si="68">A7</f>
        <v>41663</v>
      </c>
      <c r="B104" s="22">
        <f t="shared" si="68"/>
        <v>0.45833333333333331</v>
      </c>
      <c r="C104" s="11">
        <f t="shared" si="68"/>
        <v>48.020833333333329</v>
      </c>
      <c r="D104" s="15">
        <f t="shared" ref="D104:I104" si="69">1.3872*D7-0.0187</f>
        <v>0.38442032000000004</v>
      </c>
      <c r="E104" s="15">
        <f t="shared" si="69"/>
        <v>0.37905648000000003</v>
      </c>
      <c r="F104" s="15">
        <f t="shared" si="69"/>
        <v>0.39491680000000001</v>
      </c>
      <c r="G104" s="15">
        <f t="shared" si="69"/>
        <v>0.41188688000000001</v>
      </c>
      <c r="H104" s="15">
        <f t="shared" si="69"/>
        <v>0.44240527999999996</v>
      </c>
      <c r="I104" s="15">
        <f t="shared" si="69"/>
        <v>0.38719471999999994</v>
      </c>
      <c r="J104" s="15">
        <f t="shared" ref="J104:O104" si="70">0.7565*J7-0.02</f>
        <v>8.6918666666666658E-2</v>
      </c>
      <c r="K104" s="15">
        <f t="shared" si="70"/>
        <v>8.9036866666666659E-2</v>
      </c>
      <c r="L104" s="15">
        <f t="shared" si="70"/>
        <v>8.0891883333333317E-2</v>
      </c>
      <c r="M104" s="15">
        <f t="shared" si="70"/>
        <v>8.2934433333333321E-2</v>
      </c>
      <c r="N104" s="15">
        <f t="shared" si="70"/>
        <v>8.5279583333333311E-2</v>
      </c>
      <c r="O104" s="15">
        <f t="shared" si="70"/>
        <v>8.2102283333333317E-2</v>
      </c>
    </row>
    <row r="105" spans="1:19" x14ac:dyDescent="0.2">
      <c r="A105" s="10">
        <f t="shared" ref="A105:C105" si="71">A8</f>
        <v>41664</v>
      </c>
      <c r="B105" s="22">
        <f t="shared" si="71"/>
        <v>0.4375</v>
      </c>
      <c r="C105" s="11">
        <f t="shared" si="71"/>
        <v>72</v>
      </c>
      <c r="D105" s="15">
        <f t="shared" ref="D105:I105" si="72">1.3872*D8-0.0187</f>
        <v>0.42210592000000002</v>
      </c>
      <c r="E105" s="15">
        <f t="shared" si="72"/>
        <v>0.44023200000000007</v>
      </c>
      <c r="F105" s="15">
        <f t="shared" si="72"/>
        <v>0.41350528000000009</v>
      </c>
      <c r="G105" s="15">
        <f t="shared" si="72"/>
        <v>0.42571263999999998</v>
      </c>
      <c r="H105" s="15">
        <f t="shared" si="72"/>
        <v>0.40851135999999999</v>
      </c>
      <c r="I105" s="15">
        <f t="shared" si="72"/>
        <v>0.41697328</v>
      </c>
      <c r="J105" s="15">
        <f t="shared" ref="J105:O105" si="73">0.7565*J8-0.02</f>
        <v>9.0448999999999988E-2</v>
      </c>
      <c r="K105" s="15">
        <f t="shared" si="73"/>
        <v>9.0247266666666673E-2</v>
      </c>
      <c r="L105" s="15">
        <f t="shared" si="73"/>
        <v>8.5809133333333329E-2</v>
      </c>
      <c r="M105" s="15">
        <f t="shared" si="73"/>
        <v>8.974293333333333E-2</v>
      </c>
      <c r="N105" s="15">
        <f t="shared" si="73"/>
        <v>8.9364683333333306E-2</v>
      </c>
      <c r="O105" s="15">
        <f t="shared" si="73"/>
        <v>8.9465549999999991E-2</v>
      </c>
    </row>
    <row r="106" spans="1:19" x14ac:dyDescent="0.2">
      <c r="A106" s="10">
        <f t="shared" ref="A106:C106" si="74">A9</f>
        <v>41665</v>
      </c>
      <c r="B106" s="22">
        <f t="shared" si="74"/>
        <v>0.4375</v>
      </c>
      <c r="C106" s="11">
        <f t="shared" si="74"/>
        <v>96</v>
      </c>
      <c r="D106" s="15">
        <f t="shared" ref="D106:I106" si="75">1.3872*D9-0.0187</f>
        <v>0.46256591999999996</v>
      </c>
      <c r="E106" s="15">
        <f t="shared" si="75"/>
        <v>0.45840432000000003</v>
      </c>
      <c r="F106" s="15">
        <f t="shared" si="75"/>
        <v>0.43662528</v>
      </c>
      <c r="G106" s="15">
        <f t="shared" si="75"/>
        <v>0.42719231999999996</v>
      </c>
      <c r="H106" s="15">
        <f t="shared" si="75"/>
        <v>0.40606063999999997</v>
      </c>
      <c r="I106" s="15">
        <f t="shared" si="75"/>
        <v>0.39103263999999993</v>
      </c>
      <c r="J106" s="15">
        <f t="shared" ref="J106:O106" si="76">0.7565*J9-0.02</f>
        <v>9.3676733333333317E-2</v>
      </c>
      <c r="K106" s="15">
        <f t="shared" si="76"/>
        <v>9.9022666666666675E-2</v>
      </c>
      <c r="L106" s="15">
        <f t="shared" si="76"/>
        <v>9.3273266666666674E-2</v>
      </c>
      <c r="M106" s="15">
        <f t="shared" si="76"/>
        <v>9.3424566666666681E-2</v>
      </c>
      <c r="N106" s="15">
        <f t="shared" si="76"/>
        <v>9.2340249999999985E-2</v>
      </c>
      <c r="O106" s="15">
        <f t="shared" si="76"/>
        <v>9.4534099999999996E-2</v>
      </c>
    </row>
    <row r="107" spans="1:19" x14ac:dyDescent="0.2">
      <c r="A107" s="10">
        <f t="shared" ref="A107:C107" si="77">A10</f>
        <v>41666</v>
      </c>
      <c r="B107" s="22">
        <f t="shared" si="77"/>
        <v>0.41666666666666669</v>
      </c>
      <c r="C107" s="11">
        <f t="shared" si="77"/>
        <v>119.97916666666667</v>
      </c>
      <c r="D107" s="15">
        <f t="shared" ref="D107:I107" si="78">1.3872*D10-0.0187</f>
        <v>0.42044127999999997</v>
      </c>
      <c r="E107" s="15">
        <f t="shared" si="78"/>
        <v>0.441388</v>
      </c>
      <c r="F107" s="15">
        <f t="shared" si="78"/>
        <v>0.41137824000000001</v>
      </c>
      <c r="G107" s="15">
        <f t="shared" si="78"/>
        <v>0.41244176000000005</v>
      </c>
      <c r="H107" s="15">
        <f t="shared" si="78"/>
        <v>0.38872064000000001</v>
      </c>
      <c r="I107" s="15">
        <f t="shared" si="78"/>
        <v>0.38270944000000001</v>
      </c>
      <c r="J107" s="15">
        <f t="shared" ref="J107:O107" si="79">0.7565*J10-0.02</f>
        <v>9.9249616666666651E-2</v>
      </c>
      <c r="K107" s="15">
        <f t="shared" si="79"/>
        <v>0.10043479999999998</v>
      </c>
      <c r="L107" s="15">
        <f t="shared" si="79"/>
        <v>0.10154433333333333</v>
      </c>
      <c r="M107" s="15">
        <f t="shared" si="79"/>
        <v>9.7131416666666665E-2</v>
      </c>
      <c r="N107" s="15">
        <f t="shared" si="79"/>
        <v>9.9728733333333319E-2</v>
      </c>
      <c r="O107" s="15">
        <f t="shared" si="79"/>
        <v>9.8165299999999997E-2</v>
      </c>
      <c r="R107" s="34"/>
    </row>
    <row r="108" spans="1:19" x14ac:dyDescent="0.2">
      <c r="A108" s="10" t="s">
        <v>88</v>
      </c>
      <c r="B108" s="22"/>
      <c r="C108" s="11"/>
      <c r="D108" s="15">
        <f>I86</f>
        <v>0.4328125000000016</v>
      </c>
      <c r="E108" s="15">
        <f>I87</f>
        <v>0.42812500000000142</v>
      </c>
      <c r="F108" s="15">
        <f>I88</f>
        <v>0.39812499999999917</v>
      </c>
      <c r="G108" s="15">
        <f>I89</f>
        <v>0.39406249999999754</v>
      </c>
      <c r="H108" s="15">
        <f>I90</f>
        <v>0.39124999999999854</v>
      </c>
      <c r="I108" s="15">
        <f>I91</f>
        <v>0.38812500000000028</v>
      </c>
      <c r="J108" s="15">
        <f>I92</f>
        <v>9.6249999999997726E-2</v>
      </c>
      <c r="K108" s="15">
        <f>I93</f>
        <v>0.10531250000000436</v>
      </c>
      <c r="L108" s="15">
        <f>I94</f>
        <v>9.7500000000000364E-2</v>
      </c>
      <c r="M108" s="15">
        <f>I95</f>
        <v>0.1009374999999979</v>
      </c>
      <c r="N108" s="15">
        <f>I96</f>
        <v>9.8437499999998179E-2</v>
      </c>
      <c r="O108" s="15">
        <f>I97</f>
        <v>9.9687499999995266E-2</v>
      </c>
    </row>
    <row r="109" spans="1:19" x14ac:dyDescent="0.2">
      <c r="A109" s="10"/>
      <c r="B109" s="22"/>
      <c r="C109" s="11"/>
    </row>
    <row r="110" spans="1:19" x14ac:dyDescent="0.2">
      <c r="D110" s="9" t="s">
        <v>24</v>
      </c>
      <c r="H110" s="9" t="s">
        <v>25</v>
      </c>
      <c r="L110" s="9" t="s">
        <v>67</v>
      </c>
      <c r="P110" s="9" t="s">
        <v>81</v>
      </c>
    </row>
    <row r="111" spans="1:19" x14ac:dyDescent="0.2">
      <c r="A111" s="9" t="str">
        <f t="shared" ref="A111:A117" si="80">A101</f>
        <v>Date</v>
      </c>
      <c r="B111" s="9" t="str">
        <f t="shared" ref="B111:C111" si="81">B101</f>
        <v>Time</v>
      </c>
      <c r="C111" s="9" t="str">
        <f t="shared" si="81"/>
        <v>Hour</v>
      </c>
      <c r="D111" s="9" t="s">
        <v>231</v>
      </c>
      <c r="E111" s="9" t="s">
        <v>218</v>
      </c>
      <c r="H111" s="9" t="s">
        <v>206</v>
      </c>
      <c r="I111" s="9" t="s">
        <v>207</v>
      </c>
      <c r="L111" s="9" t="s">
        <v>206</v>
      </c>
      <c r="M111" s="9" t="s">
        <v>207</v>
      </c>
      <c r="N111" s="9" t="s">
        <v>208</v>
      </c>
      <c r="O111" s="9" t="s">
        <v>209</v>
      </c>
      <c r="P111" s="9" t="s">
        <v>206</v>
      </c>
      <c r="Q111" s="9" t="s">
        <v>207</v>
      </c>
      <c r="R111" s="9" t="s">
        <v>208</v>
      </c>
      <c r="S111" s="9" t="s">
        <v>209</v>
      </c>
    </row>
    <row r="112" spans="1:19" x14ac:dyDescent="0.2">
      <c r="A112" s="10">
        <f t="shared" si="80"/>
        <v>41661</v>
      </c>
      <c r="B112" s="12">
        <f t="shared" ref="B112:C117" si="82">B102</f>
        <v>0.4375</v>
      </c>
      <c r="C112" s="28">
        <f t="shared" si="82"/>
        <v>0</v>
      </c>
      <c r="D112" s="9">
        <f>AVERAGE(D102:I102)</f>
        <v>7.935366666666667E-2</v>
      </c>
      <c r="E112" s="9">
        <f>AVERAGE(J102:O102)</f>
        <v>7.7676758333333318E-2</v>
      </c>
      <c r="H112" s="9">
        <f>STDEV(D102:I102)</f>
        <v>6.668347132002715E-3</v>
      </c>
      <c r="I112" s="9">
        <f>STDEV(J102:O102)</f>
        <v>2.4386355041008303E-3</v>
      </c>
      <c r="L112" s="9">
        <f>H112/SQRT(3)</f>
        <v>3.8499720117116366E-3</v>
      </c>
      <c r="M112" s="9">
        <f>I112/SQRT(3)</f>
        <v>1.4079468647479932E-3</v>
      </c>
      <c r="N112" s="9">
        <f>J112/SQRT(3)</f>
        <v>0</v>
      </c>
      <c r="O112" s="9">
        <f>K112/SQRT(3)</f>
        <v>0</v>
      </c>
      <c r="P112" s="9">
        <f>L112*4.303</f>
        <v>1.6566429566395171E-2</v>
      </c>
      <c r="Q112" s="9">
        <f>M112*4.303</f>
        <v>6.0583953590106149E-3</v>
      </c>
      <c r="R112" s="9">
        <f>N112*4.303</f>
        <v>0</v>
      </c>
      <c r="S112" s="9">
        <f>O112*4.303</f>
        <v>0</v>
      </c>
    </row>
    <row r="113" spans="1:19" x14ac:dyDescent="0.2">
      <c r="A113" s="10">
        <f t="shared" si="80"/>
        <v>41662</v>
      </c>
      <c r="B113" s="12">
        <f t="shared" si="82"/>
        <v>0.4375</v>
      </c>
      <c r="C113" s="28">
        <f t="shared" si="82"/>
        <v>24</v>
      </c>
      <c r="D113" s="9">
        <f t="shared" ref="D113:D117" si="83">AVERAGE(D103:I103)</f>
        <v>0.31120698666666663</v>
      </c>
      <c r="E113" s="9">
        <f t="shared" ref="E113:E117" si="84">AVERAGE(J103:O103)</f>
        <v>8.0463199999999985E-2</v>
      </c>
      <c r="H113" s="9">
        <f t="shared" ref="H113:H117" si="85">STDEV(D103:I103)</f>
        <v>6.2163255535168426E-3</v>
      </c>
      <c r="I113" s="9">
        <f t="shared" ref="I113:I117" si="86">STDEV(J103:O103)</f>
        <v>1.2021766489719082E-3</v>
      </c>
      <c r="L113" s="9">
        <f t="shared" ref="L113:L117" si="87">H113/SQRT(3)</f>
        <v>3.5889972316932987E-3</v>
      </c>
      <c r="M113" s="9">
        <f t="shared" ref="M113:O117" si="88">I113/SQRT(3)</f>
        <v>6.9407701189741348E-4</v>
      </c>
      <c r="N113" s="9">
        <f t="shared" si="88"/>
        <v>0</v>
      </c>
      <c r="O113" s="9">
        <f t="shared" si="88"/>
        <v>0</v>
      </c>
      <c r="P113" s="9">
        <f t="shared" ref="P113:P117" si="89">L113*4.303</f>
        <v>1.5443455087976263E-2</v>
      </c>
      <c r="Q113" s="9">
        <f t="shared" ref="Q113:Q117" si="90">M113*4.303</f>
        <v>2.9866133821945702E-3</v>
      </c>
      <c r="R113" s="9">
        <f t="shared" ref="R113:R117" si="91">N113*4.303</f>
        <v>0</v>
      </c>
      <c r="S113" s="9">
        <f t="shared" ref="S113:S117" si="92">O113*4.303</f>
        <v>0</v>
      </c>
    </row>
    <row r="114" spans="1:19" x14ac:dyDescent="0.2">
      <c r="A114" s="10">
        <f t="shared" si="80"/>
        <v>41663</v>
      </c>
      <c r="B114" s="12">
        <f t="shared" si="82"/>
        <v>0.45833333333333331</v>
      </c>
      <c r="C114" s="28">
        <f t="shared" si="82"/>
        <v>48.020833333333329</v>
      </c>
      <c r="D114" s="9">
        <f t="shared" si="83"/>
        <v>0.39998008000000002</v>
      </c>
      <c r="E114" s="9">
        <f t="shared" si="84"/>
        <v>8.45272861111111E-2</v>
      </c>
      <c r="H114" s="9">
        <f t="shared" si="85"/>
        <v>2.3709385838463194E-2</v>
      </c>
      <c r="I114" s="9">
        <f t="shared" si="86"/>
        <v>3.1066039547929507E-3</v>
      </c>
      <c r="L114" s="9">
        <f t="shared" si="87"/>
        <v>1.3688620296157427E-2</v>
      </c>
      <c r="M114" s="9">
        <f t="shared" si="88"/>
        <v>1.7935986295652662E-3</v>
      </c>
      <c r="N114" s="9">
        <f t="shared" si="88"/>
        <v>0</v>
      </c>
      <c r="O114" s="9">
        <f t="shared" si="88"/>
        <v>0</v>
      </c>
      <c r="P114" s="9">
        <f t="shared" si="89"/>
        <v>5.890213313436541E-2</v>
      </c>
      <c r="Q114" s="9">
        <f t="shared" si="90"/>
        <v>7.7178549030193404E-3</v>
      </c>
      <c r="R114" s="9">
        <f t="shared" si="91"/>
        <v>0</v>
      </c>
      <c r="S114" s="9">
        <f t="shared" si="92"/>
        <v>0</v>
      </c>
    </row>
    <row r="115" spans="1:19" x14ac:dyDescent="0.2">
      <c r="A115" s="10">
        <f t="shared" si="80"/>
        <v>41664</v>
      </c>
      <c r="B115" s="12">
        <f t="shared" si="82"/>
        <v>0.4375</v>
      </c>
      <c r="C115" s="28">
        <f t="shared" si="82"/>
        <v>72</v>
      </c>
      <c r="D115" s="9">
        <f t="shared" si="83"/>
        <v>0.42117341333333336</v>
      </c>
      <c r="E115" s="9">
        <f t="shared" si="84"/>
        <v>8.9179761111111103E-2</v>
      </c>
      <c r="H115" s="9">
        <f t="shared" si="85"/>
        <v>1.1148747522455916E-2</v>
      </c>
      <c r="I115" s="9">
        <f t="shared" si="86"/>
        <v>1.7055615822188124E-3</v>
      </c>
      <c r="L115" s="9">
        <f t="shared" si="87"/>
        <v>6.4367323832170966E-3</v>
      </c>
      <c r="M115" s="9">
        <f>I115/SQRT(3)</f>
        <v>9.8470643861351542E-4</v>
      </c>
      <c r="N115" s="9">
        <f t="shared" si="88"/>
        <v>0</v>
      </c>
      <c r="O115" s="9">
        <f t="shared" si="88"/>
        <v>0</v>
      </c>
      <c r="P115" s="9">
        <f t="shared" si="89"/>
        <v>2.7697259444983167E-2</v>
      </c>
      <c r="Q115" s="9">
        <f t="shared" si="90"/>
        <v>4.2371918053539567E-3</v>
      </c>
      <c r="R115" s="9">
        <f t="shared" si="91"/>
        <v>0</v>
      </c>
      <c r="S115" s="9">
        <f t="shared" si="92"/>
        <v>0</v>
      </c>
    </row>
    <row r="116" spans="1:19" x14ac:dyDescent="0.2">
      <c r="A116" s="10">
        <f t="shared" si="80"/>
        <v>41665</v>
      </c>
      <c r="B116" s="12">
        <f t="shared" si="82"/>
        <v>0.4375</v>
      </c>
      <c r="C116" s="28">
        <f t="shared" si="82"/>
        <v>96</v>
      </c>
      <c r="D116" s="9">
        <f t="shared" si="83"/>
        <v>0.43031351999999989</v>
      </c>
      <c r="E116" s="9">
        <f t="shared" si="84"/>
        <v>9.4378597222222207E-2</v>
      </c>
      <c r="H116" s="9">
        <f t="shared" si="85"/>
        <v>2.8319887980027061E-2</v>
      </c>
      <c r="I116" s="9">
        <f t="shared" si="86"/>
        <v>2.382056438188018E-3</v>
      </c>
      <c r="L116" s="9">
        <f t="shared" si="87"/>
        <v>1.6350494948688673E-2</v>
      </c>
      <c r="M116" s="9">
        <f t="shared" si="88"/>
        <v>1.3752809258127333E-3</v>
      </c>
      <c r="N116" s="9">
        <f t="shared" si="88"/>
        <v>0</v>
      </c>
      <c r="O116" s="9">
        <f t="shared" si="88"/>
        <v>0</v>
      </c>
      <c r="P116" s="9">
        <f t="shared" si="89"/>
        <v>7.0356179764207355E-2</v>
      </c>
      <c r="Q116" s="9">
        <f t="shared" si="90"/>
        <v>5.917833823772191E-3</v>
      </c>
      <c r="R116" s="9">
        <f t="shared" si="91"/>
        <v>0</v>
      </c>
      <c r="S116" s="9">
        <f t="shared" si="92"/>
        <v>0</v>
      </c>
    </row>
    <row r="117" spans="1:19" x14ac:dyDescent="0.2">
      <c r="A117" s="10">
        <f t="shared" si="80"/>
        <v>41666</v>
      </c>
      <c r="B117" s="12">
        <f t="shared" si="82"/>
        <v>0.41666666666666669</v>
      </c>
      <c r="C117" s="28">
        <f t="shared" si="82"/>
        <v>119.97916666666667</v>
      </c>
      <c r="D117" s="9">
        <f t="shared" si="83"/>
        <v>0.40951322666666673</v>
      </c>
      <c r="E117" s="9">
        <f t="shared" si="84"/>
        <v>9.9375699999999997E-2</v>
      </c>
      <c r="H117" s="9">
        <f t="shared" si="85"/>
        <v>2.1439462432106513E-2</v>
      </c>
      <c r="I117" s="9">
        <f t="shared" si="86"/>
        <v>1.5790546998828809E-3</v>
      </c>
      <c r="L117" s="9">
        <f t="shared" si="87"/>
        <v>1.2378079406457564E-2</v>
      </c>
      <c r="M117" s="9">
        <f t="shared" si="88"/>
        <v>9.1166765604252511E-4</v>
      </c>
      <c r="N117" s="9">
        <f t="shared" si="88"/>
        <v>0</v>
      </c>
      <c r="O117" s="9">
        <f t="shared" si="88"/>
        <v>0</v>
      </c>
      <c r="P117" s="9">
        <f t="shared" si="89"/>
        <v>5.3262875685986893E-2</v>
      </c>
      <c r="Q117" s="9">
        <f t="shared" si="90"/>
        <v>3.9229059239509851E-3</v>
      </c>
      <c r="R117" s="9">
        <f t="shared" si="91"/>
        <v>0</v>
      </c>
      <c r="S117" s="9">
        <f t="shared" si="92"/>
        <v>0</v>
      </c>
    </row>
    <row r="144" spans="1:1" x14ac:dyDescent="0.2">
      <c r="A144" s="9" t="s">
        <v>89</v>
      </c>
    </row>
    <row r="145" spans="1:26" ht="15" x14ac:dyDescent="0.25">
      <c r="A145" s="4" t="s">
        <v>90</v>
      </c>
      <c r="B145" s="4" t="s">
        <v>91</v>
      </c>
      <c r="C145" s="4"/>
      <c r="D145" s="4"/>
      <c r="E145" s="4" t="s">
        <v>30</v>
      </c>
      <c r="F145" s="4"/>
      <c r="G145" s="4"/>
      <c r="H145" s="4" t="s">
        <v>92</v>
      </c>
    </row>
    <row r="146" spans="1:26" x14ac:dyDescent="0.2">
      <c r="A146" s="9">
        <v>1</v>
      </c>
      <c r="B146" s="15">
        <v>1.5322</v>
      </c>
      <c r="C146" s="15">
        <v>1.5323</v>
      </c>
      <c r="D146" s="15">
        <v>1.5323</v>
      </c>
      <c r="E146" s="15">
        <v>1.5526</v>
      </c>
      <c r="F146" s="15">
        <v>1.5524</v>
      </c>
      <c r="G146" s="15">
        <v>1.5526</v>
      </c>
      <c r="H146" s="9">
        <f>(AVERAGE(E146:G146)-AVERAGE(B146:D146))*1000</f>
        <v>20.266666666666879</v>
      </c>
    </row>
    <row r="147" spans="1:26" x14ac:dyDescent="0.2">
      <c r="A147" s="9">
        <v>2</v>
      </c>
      <c r="B147" s="15">
        <v>1.5039</v>
      </c>
      <c r="C147" s="15">
        <v>1.5039</v>
      </c>
      <c r="D147" s="15">
        <v>1.5038</v>
      </c>
      <c r="E147" s="15">
        <v>1.5241</v>
      </c>
      <c r="F147" s="15">
        <v>1.5244</v>
      </c>
      <c r="G147" s="15">
        <v>1.5242</v>
      </c>
      <c r="H147" s="9">
        <f t="shared" ref="H147:H148" si="93">(AVERAGE(E147:G147)-AVERAGE(B147:D147))*1000</f>
        <v>20.366666666666646</v>
      </c>
    </row>
    <row r="148" spans="1:26" x14ac:dyDescent="0.2">
      <c r="A148" s="9">
        <v>3</v>
      </c>
      <c r="B148" s="15">
        <v>1.5023</v>
      </c>
      <c r="C148" s="15">
        <v>1.5024</v>
      </c>
      <c r="D148" s="15">
        <v>1.5024</v>
      </c>
      <c r="E148" s="15">
        <v>1.5217000000000001</v>
      </c>
      <c r="F148" s="15">
        <v>1.5215000000000001</v>
      </c>
      <c r="G148" s="15">
        <v>1.5219</v>
      </c>
      <c r="H148" s="9">
        <f t="shared" si="93"/>
        <v>19.333333333333648</v>
      </c>
    </row>
    <row r="149" spans="1:26" x14ac:dyDescent="0.2">
      <c r="A149" s="9">
        <v>4</v>
      </c>
      <c r="B149" s="15">
        <v>1.5046999999999999</v>
      </c>
      <c r="C149" s="15">
        <v>1.5046999999999999</v>
      </c>
      <c r="D149" s="15">
        <v>1.5046999999999999</v>
      </c>
      <c r="E149" s="15">
        <v>1.5246999999999999</v>
      </c>
      <c r="F149" s="15">
        <v>1.5247999999999999</v>
      </c>
      <c r="G149" s="15">
        <v>1.5246999999999999</v>
      </c>
      <c r="H149" s="9">
        <f t="shared" ref="H149:H157" si="94">(AVERAGE(E149:G149)-AVERAGE(B149:D149))*1000</f>
        <v>20.033333333333569</v>
      </c>
    </row>
    <row r="150" spans="1:26" x14ac:dyDescent="0.2">
      <c r="A150" s="9">
        <v>5</v>
      </c>
      <c r="B150" s="15">
        <v>1.5044999999999999</v>
      </c>
      <c r="C150" s="15">
        <v>1.5045999999999999</v>
      </c>
      <c r="D150" s="15">
        <v>1.5043</v>
      </c>
      <c r="E150" s="15">
        <v>1.5245</v>
      </c>
      <c r="F150" s="15">
        <v>1.5246999999999999</v>
      </c>
      <c r="G150" s="15">
        <v>1.5248999999999999</v>
      </c>
      <c r="H150" s="9">
        <f t="shared" si="94"/>
        <v>20.233333333333327</v>
      </c>
    </row>
    <row r="151" spans="1:26" x14ac:dyDescent="0.2">
      <c r="A151" s="9">
        <v>6</v>
      </c>
      <c r="B151" s="15">
        <v>1.5027999999999999</v>
      </c>
      <c r="C151" s="15">
        <v>1.5027999999999999</v>
      </c>
      <c r="D151" s="15">
        <v>1.5027999999999999</v>
      </c>
      <c r="E151" s="15">
        <v>1.5226999999999999</v>
      </c>
      <c r="F151" s="15">
        <v>1.5226999999999999</v>
      </c>
      <c r="G151" s="15">
        <v>1.5226</v>
      </c>
      <c r="H151" s="9">
        <f t="shared" si="94"/>
        <v>19.866666666666699</v>
      </c>
    </row>
    <row r="152" spans="1:26" x14ac:dyDescent="0.2">
      <c r="A152" s="9">
        <v>7</v>
      </c>
      <c r="B152" s="15">
        <v>1.52</v>
      </c>
      <c r="C152" s="15">
        <v>1.5199</v>
      </c>
      <c r="D152" s="15">
        <v>1.5199</v>
      </c>
      <c r="E152" s="15">
        <v>1.5402</v>
      </c>
      <c r="F152" s="15">
        <v>1.5402</v>
      </c>
      <c r="G152" s="15">
        <v>1.5402</v>
      </c>
      <c r="H152" s="9">
        <f t="shared" si="94"/>
        <v>20.266666666666431</v>
      </c>
    </row>
    <row r="153" spans="1:26" x14ac:dyDescent="0.2">
      <c r="A153" s="9">
        <v>8</v>
      </c>
      <c r="B153" s="15">
        <v>1.5015000000000001</v>
      </c>
      <c r="C153" s="15">
        <v>1.5015000000000001</v>
      </c>
      <c r="D153" s="15">
        <v>1.5015000000000001</v>
      </c>
      <c r="E153" s="15">
        <v>1.5216000000000001</v>
      </c>
      <c r="F153" s="15">
        <v>1.5217000000000001</v>
      </c>
      <c r="G153" s="15">
        <v>1.5216000000000001</v>
      </c>
      <c r="H153" s="9">
        <f t="shared" si="94"/>
        <v>20.13333333333356</v>
      </c>
    </row>
    <row r="154" spans="1:26" x14ac:dyDescent="0.2">
      <c r="A154" s="9">
        <v>9</v>
      </c>
      <c r="B154" s="15">
        <v>1.4990000000000001</v>
      </c>
      <c r="C154" s="15">
        <v>1.4988999999999999</v>
      </c>
      <c r="D154" s="15">
        <v>1.4988999999999999</v>
      </c>
      <c r="E154" s="15">
        <v>1.5187999999999999</v>
      </c>
      <c r="F154" s="15">
        <v>1.5187999999999999</v>
      </c>
      <c r="G154" s="15">
        <v>1.5187999999999999</v>
      </c>
      <c r="H154" s="9">
        <f t="shared" si="94"/>
        <v>19.866666666666475</v>
      </c>
    </row>
    <row r="155" spans="1:26" x14ac:dyDescent="0.2">
      <c r="A155" s="9">
        <v>10</v>
      </c>
      <c r="B155" s="15">
        <v>1.5037</v>
      </c>
      <c r="C155" s="15">
        <v>1.5037</v>
      </c>
      <c r="D155" s="15">
        <v>1.5037</v>
      </c>
      <c r="E155" s="15">
        <v>1.524</v>
      </c>
      <c r="F155" s="15">
        <v>1.524</v>
      </c>
      <c r="G155" s="15">
        <v>1.524</v>
      </c>
      <c r="H155" s="9">
        <f t="shared" si="94"/>
        <v>20.299999999999983</v>
      </c>
    </row>
    <row r="156" spans="1:26" x14ac:dyDescent="0.2">
      <c r="A156" s="9">
        <v>11</v>
      </c>
      <c r="B156" s="15">
        <v>1.5006999999999999</v>
      </c>
      <c r="C156" s="15">
        <v>1.5006999999999999</v>
      </c>
      <c r="D156" s="15">
        <v>1.5006999999999999</v>
      </c>
      <c r="E156" s="15">
        <v>1.5209999999999999</v>
      </c>
      <c r="F156" s="15">
        <v>1.5209999999999999</v>
      </c>
      <c r="G156" s="15">
        <v>1.5209999999999999</v>
      </c>
      <c r="H156" s="9">
        <f t="shared" si="94"/>
        <v>20.299999999999983</v>
      </c>
    </row>
    <row r="157" spans="1:26" x14ac:dyDescent="0.2">
      <c r="A157" s="9">
        <v>12</v>
      </c>
      <c r="B157" s="15">
        <v>1.5079</v>
      </c>
      <c r="C157" s="15">
        <v>1.5078</v>
      </c>
      <c r="D157" s="15">
        <v>1.5078</v>
      </c>
      <c r="E157" s="15">
        <v>1.5284</v>
      </c>
      <c r="F157" s="15">
        <v>1.5284</v>
      </c>
      <c r="G157" s="15">
        <v>1.5283</v>
      </c>
      <c r="H157" s="9">
        <f t="shared" si="94"/>
        <v>20.533333333333292</v>
      </c>
    </row>
    <row r="159" spans="1:26" x14ac:dyDescent="0.2">
      <c r="U159" s="9" t="s">
        <v>183</v>
      </c>
    </row>
    <row r="160" spans="1:26" x14ac:dyDescent="0.2">
      <c r="D160" s="9" t="s">
        <v>38</v>
      </c>
      <c r="E160" s="9" t="s">
        <v>39</v>
      </c>
      <c r="F160" s="9" t="s">
        <v>40</v>
      </c>
      <c r="G160" s="9" t="s">
        <v>41</v>
      </c>
      <c r="H160" s="9" t="s">
        <v>42</v>
      </c>
      <c r="I160" s="9" t="s">
        <v>43</v>
      </c>
      <c r="J160" s="9" t="s">
        <v>44</v>
      </c>
      <c r="K160" s="9" t="s">
        <v>45</v>
      </c>
      <c r="L160" s="9" t="s">
        <v>46</v>
      </c>
      <c r="M160" s="9" t="s">
        <v>47</v>
      </c>
      <c r="N160" s="9" t="s">
        <v>48</v>
      </c>
      <c r="O160" s="9" t="s">
        <v>49</v>
      </c>
      <c r="U160" s="9" t="s">
        <v>188</v>
      </c>
      <c r="Z160" s="9" t="s">
        <v>189</v>
      </c>
    </row>
    <row r="161" spans="1:26" x14ac:dyDescent="0.2">
      <c r="A161" s="10" t="s">
        <v>99</v>
      </c>
      <c r="D161" s="9">
        <f>(D108-D102)/5*1000</f>
        <v>68.175143333333665</v>
      </c>
      <c r="E161" s="9">
        <f t="shared" ref="E161:O161" si="95">(E108-E102)/5*1000</f>
        <v>69.950956666666954</v>
      </c>
      <c r="F161" s="9">
        <f t="shared" si="95"/>
        <v>64.268686666666497</v>
      </c>
      <c r="G161" s="9">
        <f>(G108-G102)/5*1000</f>
        <v>63.007329999999513</v>
      </c>
      <c r="H161" s="9">
        <f>(H108-H102)/5*1000</f>
        <v>63.856963333333042</v>
      </c>
      <c r="I161" s="9">
        <f t="shared" si="95"/>
        <v>62.016520000000057</v>
      </c>
      <c r="J161" s="9">
        <f>(J108-J102)/5*1000</f>
        <v>4.403063333332879</v>
      </c>
      <c r="K161" s="9">
        <f t="shared" si="95"/>
        <v>5.5044533333342089</v>
      </c>
      <c r="L161" s="9">
        <f t="shared" si="95"/>
        <v>3.9621266666667432</v>
      </c>
      <c r="M161" s="9">
        <f>(M108-M102)/5*1000</f>
        <v>4.5235433333329169</v>
      </c>
      <c r="N161" s="9">
        <f t="shared" si="95"/>
        <v>3.3578233333329708</v>
      </c>
      <c r="O161" s="9">
        <f t="shared" si="95"/>
        <v>4.6618799999990586</v>
      </c>
      <c r="T161" s="9" t="s">
        <v>184</v>
      </c>
      <c r="U161" s="9">
        <f>J161-M161</f>
        <v>-0.12048000000003789</v>
      </c>
      <c r="V161" s="9">
        <f t="shared" ref="V161:W161" si="96">K161-N161</f>
        <v>2.1466300000012382</v>
      </c>
      <c r="W161" s="9">
        <f t="shared" si="96"/>
        <v>-0.69975333333231537</v>
      </c>
      <c r="Y161" s="9" t="s">
        <v>190</v>
      </c>
      <c r="Z161" s="9">
        <f>AVERAGE(J161:L161)</f>
        <v>4.6232144444446108</v>
      </c>
    </row>
    <row r="162" spans="1:26" x14ac:dyDescent="0.2">
      <c r="A162" s="10" t="s">
        <v>94</v>
      </c>
      <c r="D162" s="26" t="e">
        <f>#REF!</f>
        <v>#REF!</v>
      </c>
      <c r="E162" s="26" t="e">
        <f>#REF!</f>
        <v>#REF!</v>
      </c>
      <c r="F162" s="26" t="e">
        <f>#REF!</f>
        <v>#REF!</v>
      </c>
      <c r="G162" s="26" t="e">
        <f>#REF!</f>
        <v>#REF!</v>
      </c>
      <c r="H162" s="26" t="e">
        <f>#REF!</f>
        <v>#REF!</v>
      </c>
      <c r="I162" s="26" t="e">
        <f>#REF!</f>
        <v>#REF!</v>
      </c>
      <c r="J162" s="26" t="e">
        <f>#REF!</f>
        <v>#REF!</v>
      </c>
      <c r="K162" s="26" t="e">
        <f>#REF!</f>
        <v>#REF!</v>
      </c>
      <c r="L162" s="26" t="e">
        <f>#REF!</f>
        <v>#REF!</v>
      </c>
      <c r="M162" s="26" t="e">
        <f>#REF!</f>
        <v>#REF!</v>
      </c>
      <c r="N162" s="26" t="e">
        <f>#REF!</f>
        <v>#REF!</v>
      </c>
      <c r="O162" s="26" t="e">
        <f>#REF!</f>
        <v>#REF!</v>
      </c>
      <c r="T162" s="9" t="s">
        <v>24</v>
      </c>
      <c r="U162" s="9">
        <f>AVERAGE(U161:W161)</f>
        <v>0.44213222222296161</v>
      </c>
      <c r="Y162" s="9" t="s">
        <v>191</v>
      </c>
      <c r="Z162" s="9">
        <f>AVERAGE(M161:O161)</f>
        <v>4.1810822222216482</v>
      </c>
    </row>
    <row r="163" spans="1:26" x14ac:dyDescent="0.2">
      <c r="A163" s="9" t="s">
        <v>95</v>
      </c>
      <c r="D163" s="9" t="e">
        <f>D161*D162</f>
        <v>#REF!</v>
      </c>
      <c r="E163" s="9" t="e">
        <f t="shared" ref="E163:O163" si="97">E161*E162</f>
        <v>#REF!</v>
      </c>
      <c r="F163" s="9" t="e">
        <f t="shared" si="97"/>
        <v>#REF!</v>
      </c>
      <c r="G163" s="9" t="e">
        <f t="shared" si="97"/>
        <v>#REF!</v>
      </c>
      <c r="H163" s="9" t="e">
        <f t="shared" si="97"/>
        <v>#REF!</v>
      </c>
      <c r="I163" s="9" t="e">
        <f t="shared" si="97"/>
        <v>#REF!</v>
      </c>
      <c r="J163" s="9" t="e">
        <f t="shared" si="97"/>
        <v>#REF!</v>
      </c>
      <c r="K163" s="9" t="e">
        <f t="shared" si="97"/>
        <v>#REF!</v>
      </c>
      <c r="L163" s="9" t="e">
        <f t="shared" si="97"/>
        <v>#REF!</v>
      </c>
      <c r="M163" s="9" t="e">
        <f t="shared" si="97"/>
        <v>#REF!</v>
      </c>
      <c r="N163" s="9" t="e">
        <f t="shared" si="97"/>
        <v>#REF!</v>
      </c>
      <c r="O163" s="9" t="e">
        <f t="shared" si="97"/>
        <v>#REF!</v>
      </c>
      <c r="T163" s="9" t="s">
        <v>167</v>
      </c>
      <c r="U163" s="9">
        <f>STDEV(U161:W161)</f>
        <v>1.5042851805810573</v>
      </c>
      <c r="Y163" s="9" t="s">
        <v>192</v>
      </c>
      <c r="Z163" s="9">
        <v>0</v>
      </c>
    </row>
    <row r="164" spans="1:26" x14ac:dyDescent="0.2">
      <c r="A164" s="9" t="s">
        <v>96</v>
      </c>
      <c r="D164" s="24" t="e">
        <f>#REF!</f>
        <v>#REF!</v>
      </c>
      <c r="E164" s="24" t="e">
        <f>#REF!</f>
        <v>#REF!</v>
      </c>
      <c r="F164" s="24" t="e">
        <f>#REF!</f>
        <v>#REF!</v>
      </c>
      <c r="G164" s="24" t="e">
        <f>#REF!</f>
        <v>#REF!</v>
      </c>
      <c r="H164" s="24" t="e">
        <f>#REF!</f>
        <v>#REF!</v>
      </c>
      <c r="I164" s="24" t="e">
        <f>#REF!</f>
        <v>#REF!</v>
      </c>
      <c r="J164" s="24" t="e">
        <f>#REF!</f>
        <v>#REF!</v>
      </c>
      <c r="K164" s="24" t="e">
        <f>#REF!</f>
        <v>#REF!</v>
      </c>
      <c r="L164" s="24" t="e">
        <f>#REF!</f>
        <v>#REF!</v>
      </c>
      <c r="M164" s="24" t="e">
        <f>#REF!</f>
        <v>#REF!</v>
      </c>
      <c r="N164" s="24" t="e">
        <f>#REF!</f>
        <v>#REF!</v>
      </c>
      <c r="O164" s="24" t="e">
        <f>#REF!</f>
        <v>#REF!</v>
      </c>
      <c r="T164" s="9" t="s">
        <v>185</v>
      </c>
      <c r="U164" s="9">
        <v>0</v>
      </c>
      <c r="Y164" s="9" t="s">
        <v>198</v>
      </c>
      <c r="Z164" s="9">
        <v>3</v>
      </c>
    </row>
    <row r="165" spans="1:26" x14ac:dyDescent="0.2">
      <c r="A165" s="9" t="s">
        <v>97</v>
      </c>
      <c r="D165" s="9" t="e">
        <f>D161*D164</f>
        <v>#REF!</v>
      </c>
      <c r="E165" s="9" t="e">
        <f t="shared" ref="E165:O165" si="98">E161*E164</f>
        <v>#REF!</v>
      </c>
      <c r="F165" s="9" t="e">
        <f t="shared" si="98"/>
        <v>#REF!</v>
      </c>
      <c r="G165" s="9" t="e">
        <f t="shared" si="98"/>
        <v>#REF!</v>
      </c>
      <c r="H165" s="9" t="e">
        <f t="shared" si="98"/>
        <v>#REF!</v>
      </c>
      <c r="I165" s="9" t="e">
        <f t="shared" si="98"/>
        <v>#REF!</v>
      </c>
      <c r="J165" s="9" t="e">
        <f t="shared" si="98"/>
        <v>#REF!</v>
      </c>
      <c r="K165" s="9" t="e">
        <f t="shared" si="98"/>
        <v>#REF!</v>
      </c>
      <c r="L165" s="9" t="e">
        <f t="shared" si="98"/>
        <v>#REF!</v>
      </c>
      <c r="M165" s="9" t="e">
        <f t="shared" si="98"/>
        <v>#REF!</v>
      </c>
      <c r="N165" s="9" t="e">
        <f t="shared" si="98"/>
        <v>#REF!</v>
      </c>
      <c r="O165" s="9" t="e">
        <f t="shared" si="98"/>
        <v>#REF!</v>
      </c>
      <c r="T165" s="9" t="s">
        <v>186</v>
      </c>
      <c r="U165" s="9">
        <f>(U162-U164)/(U163/SQRT(3))</f>
        <v>0.50907599332840636</v>
      </c>
      <c r="Y165" s="9" t="s">
        <v>193</v>
      </c>
      <c r="Z165" s="9">
        <f>VAR(J161:L161)</f>
        <v>0.63104277047118984</v>
      </c>
    </row>
    <row r="166" spans="1:26" x14ac:dyDescent="0.2">
      <c r="A166" s="9" t="s">
        <v>98</v>
      </c>
      <c r="D166" s="9" t="e">
        <f>D161-D163-D165</f>
        <v>#REF!</v>
      </c>
      <c r="E166" s="9" t="e">
        <f t="shared" ref="E166:O166" si="99">E161-E163-E165</f>
        <v>#REF!</v>
      </c>
      <c r="F166" s="9" t="e">
        <f>F161-F163-F165</f>
        <v>#REF!</v>
      </c>
      <c r="G166" s="9" t="e">
        <f t="shared" si="99"/>
        <v>#REF!</v>
      </c>
      <c r="H166" s="9" t="e">
        <f t="shared" si="99"/>
        <v>#REF!</v>
      </c>
      <c r="I166" s="9" t="e">
        <f t="shared" si="99"/>
        <v>#REF!</v>
      </c>
      <c r="J166" s="9" t="e">
        <f t="shared" si="99"/>
        <v>#REF!</v>
      </c>
      <c r="K166" s="9" t="e">
        <f t="shared" si="99"/>
        <v>#REF!</v>
      </c>
      <c r="L166" s="9" t="e">
        <f t="shared" si="99"/>
        <v>#REF!</v>
      </c>
      <c r="M166" s="9" t="e">
        <f t="shared" si="99"/>
        <v>#REF!</v>
      </c>
      <c r="N166" s="9" t="e">
        <f t="shared" si="99"/>
        <v>#REF!</v>
      </c>
      <c r="O166" s="9" t="e">
        <f t="shared" si="99"/>
        <v>#REF!</v>
      </c>
      <c r="T166" s="9" t="s">
        <v>187</v>
      </c>
      <c r="U166" s="9">
        <f>TDIST(U165,2,2)</f>
        <v>0.66130461479492264</v>
      </c>
      <c r="Y166" s="9" t="s">
        <v>194</v>
      </c>
      <c r="Z166" s="9">
        <f>VAR(M161:O161)</f>
        <v>0.51310065693674289</v>
      </c>
    </row>
    <row r="167" spans="1:26" x14ac:dyDescent="0.2">
      <c r="A167" s="9" t="s">
        <v>119</v>
      </c>
      <c r="D167" s="15" t="e">
        <f>'HPLC Summary'!AE6*1000</f>
        <v>#REF!</v>
      </c>
      <c r="E167" s="15" t="e">
        <f>'HPLC Summary'!AF6*1000</f>
        <v>#REF!</v>
      </c>
      <c r="F167" s="15" t="e">
        <f>'HPLC Summary'!AG6*1000</f>
        <v>#REF!</v>
      </c>
      <c r="G167" s="15" t="e">
        <f>'HPLC Summary'!AH6*1000</f>
        <v>#REF!</v>
      </c>
      <c r="H167" s="15" t="e">
        <f>'HPLC Summary'!AI6*1000</f>
        <v>#REF!</v>
      </c>
      <c r="I167" s="15" t="e">
        <f>'HPLC Summary'!AJ6*1000</f>
        <v>#REF!</v>
      </c>
      <c r="J167" s="15" t="e">
        <f>'HPLC Summary'!AK6*1000</f>
        <v>#REF!</v>
      </c>
      <c r="K167" s="15" t="e">
        <f>'HPLC Summary'!AL6*1000</f>
        <v>#REF!</v>
      </c>
      <c r="L167" s="15" t="e">
        <f>'HPLC Summary'!AM6*1000</f>
        <v>#REF!</v>
      </c>
      <c r="M167" s="15" t="e">
        <f>'HPLC Summary'!AN6*1000</f>
        <v>#REF!</v>
      </c>
      <c r="N167" s="15" t="e">
        <f>'HPLC Summary'!AO6*1000</f>
        <v>#REF!</v>
      </c>
      <c r="O167" s="15" t="e">
        <f>'HPLC Summary'!AP6*1000</f>
        <v>#REF!</v>
      </c>
      <c r="Y167" s="9" t="s">
        <v>195</v>
      </c>
      <c r="Z167" s="9">
        <f>((Z164-1)/(Z164+Z164-2))*Z165+((Z164-1)/(Z164+Z164-2))*Z166</f>
        <v>0.57207171370396637</v>
      </c>
    </row>
    <row r="168" spans="1:26" x14ac:dyDescent="0.2">
      <c r="A168" s="9" t="s">
        <v>104</v>
      </c>
      <c r="G168" s="25" t="e">
        <f>SUM(G163*$D$185,G165*$D$186)*5/(G167*$D$188)</f>
        <v>#REF!</v>
      </c>
      <c r="H168" s="25" t="e">
        <f t="shared" ref="H168:O168" si="100">SUM(H163*$D$185,H165*$D$186)*5/(H167*$D$188)</f>
        <v>#REF!</v>
      </c>
      <c r="I168" s="25" t="e">
        <f t="shared" si="100"/>
        <v>#REF!</v>
      </c>
      <c r="J168" s="25" t="e">
        <f t="shared" si="100"/>
        <v>#REF!</v>
      </c>
      <c r="K168" s="25" t="e">
        <f t="shared" si="100"/>
        <v>#REF!</v>
      </c>
      <c r="L168" s="25" t="e">
        <f t="shared" si="100"/>
        <v>#REF!</v>
      </c>
      <c r="M168" s="25" t="e">
        <f t="shared" si="100"/>
        <v>#REF!</v>
      </c>
      <c r="N168" s="25" t="e">
        <f t="shared" si="100"/>
        <v>#REF!</v>
      </c>
      <c r="O168" s="25" t="e">
        <f t="shared" si="100"/>
        <v>#REF!</v>
      </c>
      <c r="Y168" s="9" t="s">
        <v>196</v>
      </c>
      <c r="Z168" s="9">
        <f>SQRT(Z167)</f>
        <v>0.75635422501891691</v>
      </c>
    </row>
    <row r="169" spans="1:26" x14ac:dyDescent="0.2">
      <c r="Y169" s="9" t="s">
        <v>197</v>
      </c>
      <c r="Z169" s="9">
        <f>Z168*SQRT(1/Z164*2)</f>
        <v>0.61756063869818556</v>
      </c>
    </row>
    <row r="170" spans="1:26" x14ac:dyDescent="0.2">
      <c r="D170" s="9" t="s">
        <v>24</v>
      </c>
      <c r="H170" s="9" t="s">
        <v>25</v>
      </c>
      <c r="L170" s="9" t="s">
        <v>67</v>
      </c>
      <c r="P170" s="9" t="s">
        <v>81</v>
      </c>
      <c r="Y170" s="9" t="s">
        <v>186</v>
      </c>
      <c r="Z170" s="9">
        <f>(Z161-Z162-Z163)/Z169</f>
        <v>0.71593329386240512</v>
      </c>
    </row>
    <row r="171" spans="1:26" x14ac:dyDescent="0.2">
      <c r="D171" s="9" t="s">
        <v>206</v>
      </c>
      <c r="E171" s="9" t="s">
        <v>207</v>
      </c>
      <c r="F171" s="9" t="s">
        <v>208</v>
      </c>
      <c r="G171" s="9" t="s">
        <v>209</v>
      </c>
      <c r="H171" s="9" t="s">
        <v>206</v>
      </c>
      <c r="I171" s="9" t="s">
        <v>207</v>
      </c>
      <c r="J171" s="9" t="s">
        <v>208</v>
      </c>
      <c r="K171" s="9" t="s">
        <v>209</v>
      </c>
      <c r="L171" s="9" t="s">
        <v>206</v>
      </c>
      <c r="M171" s="9" t="s">
        <v>207</v>
      </c>
      <c r="N171" s="9" t="s">
        <v>208</v>
      </c>
      <c r="O171" s="9" t="s">
        <v>209</v>
      </c>
      <c r="P171" s="9" t="s">
        <v>206</v>
      </c>
      <c r="Q171" s="9" t="s">
        <v>207</v>
      </c>
      <c r="R171" s="9" t="s">
        <v>208</v>
      </c>
      <c r="S171" s="9" t="s">
        <v>209</v>
      </c>
      <c r="Y171" s="9" t="s">
        <v>187</v>
      </c>
      <c r="Z171" s="9">
        <f>TDIST(Z170,2,2)</f>
        <v>0.54833722652121852</v>
      </c>
    </row>
    <row r="172" spans="1:26" x14ac:dyDescent="0.2">
      <c r="A172" s="10" t="s">
        <v>93</v>
      </c>
      <c r="D172" s="9">
        <f t="shared" ref="D172:D177" si="101">AVERAGE(D161:F161)</f>
        <v>67.464928888889048</v>
      </c>
      <c r="E172" s="9">
        <f t="shared" ref="E172:E177" si="102">AVERAGE(G161:I161)</f>
        <v>62.96027111111087</v>
      </c>
      <c r="F172" s="9">
        <f t="shared" ref="F172:F177" si="103">AVERAGE(J161:L161)</f>
        <v>4.6232144444446108</v>
      </c>
      <c r="G172" s="9">
        <f>AVERAGE(M161:O161)</f>
        <v>4.1810822222216482</v>
      </c>
      <c r="H172" s="9">
        <f t="shared" ref="H172:H177" si="104">STDEV(D161:F161)</f>
        <v>2.9069488309995482</v>
      </c>
      <c r="I172" s="9">
        <f t="shared" ref="I172:I177" si="105">STDEV(G161:I161)</f>
        <v>0.92112367251636318</v>
      </c>
      <c r="J172" s="9">
        <f>STDEV(J161:L161)</f>
        <v>0.7943820053797731</v>
      </c>
      <c r="K172" s="9">
        <f t="shared" ref="K172:K177" si="106">STDEV(M161:O161)</f>
        <v>0.71631044731788107</v>
      </c>
      <c r="L172" s="9">
        <f t="shared" ref="L172:O177" si="107">H172/SQRT(3)</f>
        <v>1.678327690098057</v>
      </c>
      <c r="M172" s="9">
        <f t="shared" si="107"/>
        <v>0.53181100028425898</v>
      </c>
      <c r="N172" s="9">
        <f t="shared" si="107"/>
        <v>0.45863666464540676</v>
      </c>
      <c r="O172" s="9">
        <f>K172/SQRT(3)</f>
        <v>0.41356202958231991</v>
      </c>
      <c r="P172" s="9">
        <f>L172*4.303</f>
        <v>7.2218440504919394</v>
      </c>
      <c r="Q172" s="9">
        <f t="shared" ref="Q172:R176" si="108">M172*4.303</f>
        <v>2.2883827342231662</v>
      </c>
      <c r="R172" s="9">
        <f t="shared" si="108"/>
        <v>1.9735135679691853</v>
      </c>
      <c r="S172" s="9">
        <f t="shared" ref="S172:S177" si="109">O172*4.303</f>
        <v>1.7795574132927225</v>
      </c>
    </row>
    <row r="173" spans="1:26" x14ac:dyDescent="0.2">
      <c r="A173" s="10" t="s">
        <v>94</v>
      </c>
      <c r="D173" s="27" t="e">
        <f t="shared" si="101"/>
        <v>#REF!</v>
      </c>
      <c r="E173" s="27" t="e">
        <f t="shared" si="102"/>
        <v>#REF!</v>
      </c>
      <c r="F173" s="27" t="e">
        <f t="shared" si="103"/>
        <v>#REF!</v>
      </c>
      <c r="G173" s="27" t="e">
        <f t="shared" ref="G173:G177" si="110">AVERAGE(M162:O162)</f>
        <v>#REF!</v>
      </c>
      <c r="H173" s="27" t="e">
        <f t="shared" si="104"/>
        <v>#REF!</v>
      </c>
      <c r="I173" s="27" t="e">
        <f t="shared" si="105"/>
        <v>#REF!</v>
      </c>
      <c r="J173" s="27" t="e">
        <f>STDEV(J162:L162)</f>
        <v>#REF!</v>
      </c>
      <c r="K173" s="27" t="e">
        <f t="shared" si="106"/>
        <v>#REF!</v>
      </c>
      <c r="L173" s="27" t="e">
        <f t="shared" si="107"/>
        <v>#REF!</v>
      </c>
      <c r="M173" s="27" t="e">
        <f t="shared" si="107"/>
        <v>#REF!</v>
      </c>
      <c r="N173" s="27" t="e">
        <f t="shared" si="107"/>
        <v>#REF!</v>
      </c>
      <c r="O173" s="27" t="e">
        <f>K173/SQRT(3)</f>
        <v>#REF!</v>
      </c>
      <c r="P173" s="27" t="e">
        <f t="shared" ref="P173:P176" si="111">L173*4.303</f>
        <v>#REF!</v>
      </c>
      <c r="Q173" s="27" t="e">
        <f t="shared" si="108"/>
        <v>#REF!</v>
      </c>
      <c r="R173" s="27" t="e">
        <f t="shared" si="108"/>
        <v>#REF!</v>
      </c>
      <c r="S173" s="27" t="e">
        <f t="shared" si="109"/>
        <v>#REF!</v>
      </c>
    </row>
    <row r="174" spans="1:26" x14ac:dyDescent="0.2">
      <c r="A174" s="9" t="s">
        <v>95</v>
      </c>
      <c r="D174" s="9" t="e">
        <f t="shared" si="101"/>
        <v>#REF!</v>
      </c>
      <c r="E174" s="9" t="e">
        <f t="shared" si="102"/>
        <v>#REF!</v>
      </c>
      <c r="F174" s="9" t="e">
        <f t="shared" si="103"/>
        <v>#REF!</v>
      </c>
      <c r="G174" s="9" t="e">
        <f t="shared" si="110"/>
        <v>#REF!</v>
      </c>
      <c r="H174" s="9" t="e">
        <f t="shared" si="104"/>
        <v>#REF!</v>
      </c>
      <c r="I174" s="9" t="e">
        <f t="shared" si="105"/>
        <v>#REF!</v>
      </c>
      <c r="J174" s="9" t="e">
        <f>STDEV(J163:L163)</f>
        <v>#REF!</v>
      </c>
      <c r="K174" s="9" t="e">
        <f t="shared" si="106"/>
        <v>#REF!</v>
      </c>
      <c r="L174" s="9" t="e">
        <f t="shared" si="107"/>
        <v>#REF!</v>
      </c>
      <c r="M174" s="9" t="e">
        <f t="shared" si="107"/>
        <v>#REF!</v>
      </c>
      <c r="N174" s="9" t="e">
        <f t="shared" si="107"/>
        <v>#REF!</v>
      </c>
      <c r="O174" s="9" t="e">
        <f t="shared" si="107"/>
        <v>#REF!</v>
      </c>
      <c r="P174" s="9" t="e">
        <f t="shared" si="111"/>
        <v>#REF!</v>
      </c>
      <c r="Q174" s="9" t="e">
        <f t="shared" si="108"/>
        <v>#REF!</v>
      </c>
      <c r="R174" s="9" t="e">
        <f t="shared" si="108"/>
        <v>#REF!</v>
      </c>
      <c r="S174" s="9" t="e">
        <f t="shared" si="109"/>
        <v>#REF!</v>
      </c>
    </row>
    <row r="175" spans="1:26" x14ac:dyDescent="0.2">
      <c r="A175" s="9" t="s">
        <v>96</v>
      </c>
      <c r="D175" s="25" t="e">
        <f t="shared" si="101"/>
        <v>#REF!</v>
      </c>
      <c r="E175" s="25" t="e">
        <f t="shared" si="102"/>
        <v>#REF!</v>
      </c>
      <c r="F175" s="25" t="e">
        <f t="shared" si="103"/>
        <v>#REF!</v>
      </c>
      <c r="G175" s="25" t="e">
        <f t="shared" si="110"/>
        <v>#REF!</v>
      </c>
      <c r="H175" s="25" t="e">
        <f t="shared" si="104"/>
        <v>#REF!</v>
      </c>
      <c r="I175" s="25" t="e">
        <f t="shared" si="105"/>
        <v>#REF!</v>
      </c>
      <c r="J175" s="25" t="e">
        <f>STDEV(J164:L164)</f>
        <v>#REF!</v>
      </c>
      <c r="K175" s="25" t="e">
        <f t="shared" si="106"/>
        <v>#REF!</v>
      </c>
      <c r="L175" s="25" t="e">
        <f t="shared" si="107"/>
        <v>#REF!</v>
      </c>
      <c r="M175" s="25" t="e">
        <f t="shared" si="107"/>
        <v>#REF!</v>
      </c>
      <c r="N175" s="25" t="e">
        <f t="shared" si="107"/>
        <v>#REF!</v>
      </c>
      <c r="O175" s="25" t="e">
        <f t="shared" si="107"/>
        <v>#REF!</v>
      </c>
      <c r="P175" s="27" t="e">
        <f t="shared" si="111"/>
        <v>#REF!</v>
      </c>
      <c r="Q175" s="27" t="e">
        <f t="shared" si="108"/>
        <v>#REF!</v>
      </c>
      <c r="R175" s="27" t="e">
        <f t="shared" si="108"/>
        <v>#REF!</v>
      </c>
      <c r="S175" s="27" t="e">
        <f t="shared" si="109"/>
        <v>#REF!</v>
      </c>
    </row>
    <row r="176" spans="1:26" x14ac:dyDescent="0.2">
      <c r="A176" s="9" t="s">
        <v>100</v>
      </c>
      <c r="D176" s="9" t="e">
        <f t="shared" si="101"/>
        <v>#REF!</v>
      </c>
      <c r="E176" s="9" t="e">
        <f t="shared" si="102"/>
        <v>#REF!</v>
      </c>
      <c r="F176" s="9" t="e">
        <f t="shared" si="103"/>
        <v>#REF!</v>
      </c>
      <c r="G176" s="9" t="e">
        <f t="shared" si="110"/>
        <v>#REF!</v>
      </c>
      <c r="H176" s="9" t="e">
        <f t="shared" si="104"/>
        <v>#REF!</v>
      </c>
      <c r="I176" s="9" t="e">
        <f t="shared" si="105"/>
        <v>#REF!</v>
      </c>
      <c r="J176" s="9" t="e">
        <f t="shared" ref="J176" si="112">STDEV(J165:L165)</f>
        <v>#REF!</v>
      </c>
      <c r="K176" s="9" t="e">
        <f t="shared" si="106"/>
        <v>#REF!</v>
      </c>
      <c r="L176" s="9" t="e">
        <f t="shared" si="107"/>
        <v>#REF!</v>
      </c>
      <c r="M176" s="9" t="e">
        <f t="shared" si="107"/>
        <v>#REF!</v>
      </c>
      <c r="N176" s="9" t="e">
        <f t="shared" si="107"/>
        <v>#REF!</v>
      </c>
      <c r="O176" s="9" t="e">
        <f t="shared" si="107"/>
        <v>#REF!</v>
      </c>
      <c r="P176" s="9" t="e">
        <f t="shared" si="111"/>
        <v>#REF!</v>
      </c>
      <c r="Q176" s="9" t="e">
        <f t="shared" si="108"/>
        <v>#REF!</v>
      </c>
      <c r="R176" s="9" t="e">
        <f t="shared" si="108"/>
        <v>#REF!</v>
      </c>
      <c r="S176" s="9" t="e">
        <f t="shared" si="109"/>
        <v>#REF!</v>
      </c>
    </row>
    <row r="177" spans="1:19" x14ac:dyDescent="0.2">
      <c r="A177" s="9" t="s">
        <v>98</v>
      </c>
      <c r="D177" s="9" t="e">
        <f t="shared" si="101"/>
        <v>#REF!</v>
      </c>
      <c r="E177" s="9" t="e">
        <f t="shared" si="102"/>
        <v>#REF!</v>
      </c>
      <c r="F177" s="9" t="e">
        <f t="shared" si="103"/>
        <v>#REF!</v>
      </c>
      <c r="G177" s="9" t="e">
        <f t="shared" si="110"/>
        <v>#REF!</v>
      </c>
      <c r="H177" s="9" t="e">
        <f t="shared" si="104"/>
        <v>#REF!</v>
      </c>
      <c r="I177" s="9" t="e">
        <f t="shared" si="105"/>
        <v>#REF!</v>
      </c>
      <c r="J177" s="9" t="e">
        <f>STDEV(J166:L166)</f>
        <v>#REF!</v>
      </c>
      <c r="K177" s="9" t="e">
        <f t="shared" si="106"/>
        <v>#REF!</v>
      </c>
      <c r="L177" s="9" t="e">
        <f t="shared" si="107"/>
        <v>#REF!</v>
      </c>
      <c r="M177" s="9" t="e">
        <f t="shared" si="107"/>
        <v>#REF!</v>
      </c>
      <c r="N177" s="9" t="e">
        <f>J177/SQRT(3)</f>
        <v>#REF!</v>
      </c>
      <c r="O177" s="9" t="e">
        <f t="shared" si="107"/>
        <v>#REF!</v>
      </c>
      <c r="P177" s="9" t="e">
        <f>L177*4.303</f>
        <v>#REF!</v>
      </c>
      <c r="Q177" s="9" t="e">
        <f>M177*4.303</f>
        <v>#REF!</v>
      </c>
      <c r="R177" s="9" t="e">
        <f>N177*4.303</f>
        <v>#REF!</v>
      </c>
      <c r="S177" s="9" t="e">
        <f t="shared" si="109"/>
        <v>#REF!</v>
      </c>
    </row>
    <row r="178" spans="1:19" x14ac:dyDescent="0.2">
      <c r="A178" s="9" t="s">
        <v>101</v>
      </c>
      <c r="D178" s="9" t="e">
        <f>SUM(D174,D176)</f>
        <v>#REF!</v>
      </c>
      <c r="E178" s="9" t="e">
        <f t="shared" ref="E178:F178" si="113">SUM(E174,E176)</f>
        <v>#REF!</v>
      </c>
      <c r="F178" s="9" t="e">
        <f t="shared" si="113"/>
        <v>#REF!</v>
      </c>
      <c r="G178" s="9" t="e">
        <f>SUM(G174,G176)</f>
        <v>#REF!</v>
      </c>
    </row>
    <row r="179" spans="1:19" x14ac:dyDescent="0.2">
      <c r="A179" s="9" t="s">
        <v>116</v>
      </c>
      <c r="D179" s="15">
        <v>0</v>
      </c>
      <c r="E179" s="15" t="e">
        <f>'HPLC Summary'!AA6*1000</f>
        <v>#REF!</v>
      </c>
      <c r="F179" s="15" t="e">
        <f>'HPLC Summary'!AB6*1000</f>
        <v>#REF!</v>
      </c>
      <c r="G179" s="15" t="e">
        <f>'HPLC Summary'!AC6*1000</f>
        <v>#REF!</v>
      </c>
      <c r="H179" s="9" t="e">
        <f>STDEV(D167:F167)</f>
        <v>#REF!</v>
      </c>
      <c r="I179" s="9" t="e">
        <f>STDEV(G167:I167)</f>
        <v>#REF!</v>
      </c>
      <c r="J179" s="9" t="e">
        <f>STDEV(J167:L167)</f>
        <v>#REF!</v>
      </c>
      <c r="K179" s="9" t="e">
        <f>STDEV(M167:O167)</f>
        <v>#REF!</v>
      </c>
      <c r="L179" s="9" t="e">
        <f>H179/SQRT(3)</f>
        <v>#REF!</v>
      </c>
      <c r="M179" s="9" t="e">
        <f t="shared" ref="M179:O179" si="114">I179/SQRT(3)</f>
        <v>#REF!</v>
      </c>
      <c r="N179" s="9" t="e">
        <f t="shared" si="114"/>
        <v>#REF!</v>
      </c>
      <c r="O179" s="9" t="e">
        <f t="shared" si="114"/>
        <v>#REF!</v>
      </c>
      <c r="P179" s="9" t="e">
        <f>L179*4.303</f>
        <v>#REF!</v>
      </c>
      <c r="Q179" s="9" t="e">
        <f t="shared" ref="Q179:S179" si="115">M179*4.303</f>
        <v>#REF!</v>
      </c>
      <c r="R179" s="9" t="e">
        <f t="shared" si="115"/>
        <v>#REF!</v>
      </c>
      <c r="S179" s="9" t="e">
        <f t="shared" si="115"/>
        <v>#REF!</v>
      </c>
    </row>
    <row r="180" spans="1:19" x14ac:dyDescent="0.2">
      <c r="A180" s="9" t="s">
        <v>102</v>
      </c>
      <c r="E180" s="30" t="e">
        <f>E172*5/E179</f>
        <v>#REF!</v>
      </c>
      <c r="F180" s="30" t="e">
        <f>F172*5/F179</f>
        <v>#REF!</v>
      </c>
      <c r="G180" s="30" t="e">
        <f>G172*5/G179</f>
        <v>#REF!</v>
      </c>
    </row>
    <row r="181" spans="1:19" x14ac:dyDescent="0.2">
      <c r="A181" s="9" t="s">
        <v>103</v>
      </c>
      <c r="E181" s="30" t="e">
        <f>E178*5/E179</f>
        <v>#REF!</v>
      </c>
      <c r="F181" s="30" t="e">
        <f>F178*5/F179</f>
        <v>#REF!</v>
      </c>
      <c r="G181" s="30" t="e">
        <f>G178*5/G179</f>
        <v>#REF!</v>
      </c>
    </row>
    <row r="182" spans="1:19" x14ac:dyDescent="0.2">
      <c r="A182" s="9" t="s">
        <v>104</v>
      </c>
      <c r="E182" s="30" t="e">
        <f>SUM(E174*$D$185,E176*$D$186)*5/(E179*$D$188)</f>
        <v>#REF!</v>
      </c>
      <c r="F182" s="30" t="e">
        <f t="shared" ref="F182:G182" si="116">SUM(F174*$D$185,F176*$D$186)*5/(F179*$D$188)</f>
        <v>#REF!</v>
      </c>
      <c r="G182" s="30" t="e">
        <f t="shared" si="116"/>
        <v>#REF!</v>
      </c>
      <c r="I182" s="30" t="e">
        <f>STDEV(G168:I168)</f>
        <v>#REF!</v>
      </c>
      <c r="J182" s="30" t="e">
        <f>STDEV(J168:L168)</f>
        <v>#REF!</v>
      </c>
      <c r="K182" s="30" t="e">
        <f>STDEV(M168:O168)</f>
        <v>#REF!</v>
      </c>
      <c r="L182" s="30"/>
      <c r="M182" s="30" t="e">
        <f>I182/SQRT(3)</f>
        <v>#REF!</v>
      </c>
      <c r="N182" s="30" t="e">
        <f>J182/SQRT(3)</f>
        <v>#REF!</v>
      </c>
      <c r="O182" s="30" t="e">
        <f>K182/SQRT(3)</f>
        <v>#REF!</v>
      </c>
      <c r="P182" s="30"/>
      <c r="Q182" s="30" t="e">
        <f>M182*4.303</f>
        <v>#REF!</v>
      </c>
      <c r="R182" s="30" t="e">
        <f>N182*4.303</f>
        <v>#REF!</v>
      </c>
      <c r="S182" s="30" t="e">
        <f>O182*4.303</f>
        <v>#REF!</v>
      </c>
    </row>
    <row r="184" spans="1:19" x14ac:dyDescent="0.2">
      <c r="B184" s="9" t="s">
        <v>105</v>
      </c>
      <c r="C184" s="9" t="s">
        <v>106</v>
      </c>
      <c r="D184" s="9" t="s">
        <v>107</v>
      </c>
      <c r="E184" s="9" t="s">
        <v>108</v>
      </c>
    </row>
    <row r="185" spans="1:19" x14ac:dyDescent="0.2">
      <c r="A185" s="9" t="s">
        <v>109</v>
      </c>
      <c r="C185" s="9">
        <v>256.39999999999998</v>
      </c>
      <c r="D185" s="9">
        <f>37/1000</f>
        <v>3.6999999999999998E-2</v>
      </c>
      <c r="E185" s="9" t="s">
        <v>110</v>
      </c>
    </row>
    <row r="186" spans="1:19" x14ac:dyDescent="0.2">
      <c r="A186" s="9" t="s">
        <v>111</v>
      </c>
      <c r="B186" s="9">
        <v>2805</v>
      </c>
      <c r="C186" s="9">
        <v>179.2</v>
      </c>
      <c r="D186" s="9">
        <f>B186/C186/1000</f>
        <v>1.5652901785714286E-2</v>
      </c>
      <c r="E186" s="9" t="s">
        <v>110</v>
      </c>
    </row>
    <row r="187" spans="1:19" x14ac:dyDescent="0.2">
      <c r="A187" s="9" t="s">
        <v>79</v>
      </c>
      <c r="B187" s="9">
        <v>2805</v>
      </c>
      <c r="C187" s="9">
        <v>180.2</v>
      </c>
      <c r="D187" s="9">
        <f>B187/C187/1000</f>
        <v>1.5566037735849058E-2</v>
      </c>
      <c r="E187" s="9" t="s">
        <v>110</v>
      </c>
    </row>
    <row r="188" spans="1:19" x14ac:dyDescent="0.2">
      <c r="A188" s="9" t="s">
        <v>115</v>
      </c>
      <c r="B188" s="9">
        <v>874</v>
      </c>
      <c r="C188" s="9">
        <v>60.05</v>
      </c>
      <c r="D188" s="9">
        <f>B188/C188/1000</f>
        <v>1.4554537885095755E-2</v>
      </c>
      <c r="E188" s="9" t="s">
        <v>120</v>
      </c>
    </row>
    <row r="189" spans="1:19" x14ac:dyDescent="0.2">
      <c r="B189" s="9" t="s">
        <v>118</v>
      </c>
    </row>
  </sheetData>
  <pageMargins left="0.75" right="0.75" top="1" bottom="1" header="0.5" footer="0.5"/>
  <pageSetup orientation="portrait" horizontalDpi="4294967292" verticalDpi="4294967292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31"/>
  <sheetViews>
    <sheetView topLeftCell="A108" workbookViewId="0">
      <selection activeCell="P125" sqref="P125"/>
    </sheetView>
  </sheetViews>
  <sheetFormatPr defaultColWidth="8.85546875" defaultRowHeight="15" x14ac:dyDescent="0.25"/>
  <cols>
    <col min="1" max="1" width="9.7109375" style="4" bestFit="1" customWidth="1"/>
    <col min="2" max="16384" width="8.85546875" style="4"/>
  </cols>
  <sheetData>
    <row r="1" spans="1:15" x14ac:dyDescent="0.25">
      <c r="A1" s="4" t="s">
        <v>128</v>
      </c>
    </row>
    <row r="3" spans="1:15" x14ac:dyDescent="0.25">
      <c r="A3" s="4" t="s">
        <v>86</v>
      </c>
    </row>
    <row r="5" spans="1:15" x14ac:dyDescent="0.25">
      <c r="A5" s="4" t="s">
        <v>12</v>
      </c>
      <c r="B5" s="4" t="s">
        <v>13</v>
      </c>
      <c r="C5" s="4" t="s">
        <v>37</v>
      </c>
      <c r="D5" s="4" t="s">
        <v>38</v>
      </c>
      <c r="E5" s="4" t="s">
        <v>39</v>
      </c>
      <c r="F5" s="4" t="s">
        <v>40</v>
      </c>
      <c r="G5" s="4" t="s">
        <v>41</v>
      </c>
      <c r="H5" s="4" t="s">
        <v>42</v>
      </c>
      <c r="I5" s="4" t="s">
        <v>43</v>
      </c>
      <c r="J5" s="4" t="s">
        <v>44</v>
      </c>
      <c r="K5" s="4" t="s">
        <v>45</v>
      </c>
      <c r="L5" s="4" t="s">
        <v>46</v>
      </c>
      <c r="M5" s="4" t="s">
        <v>47</v>
      </c>
      <c r="N5" s="4" t="s">
        <v>48</v>
      </c>
      <c r="O5" s="4" t="s">
        <v>49</v>
      </c>
    </row>
    <row r="6" spans="1:15" x14ac:dyDescent="0.25">
      <c r="A6" s="20">
        <f>'Summary OD'!A102</f>
        <v>41661</v>
      </c>
      <c r="B6" s="29">
        <f>'Summary OD'!B102</f>
        <v>0.4375</v>
      </c>
      <c r="C6" s="33">
        <f>'Summary OD'!C102</f>
        <v>0</v>
      </c>
      <c r="D6" s="7">
        <f>'Summary OD'!D102</f>
        <v>9.1936783333333313E-2</v>
      </c>
      <c r="E6" s="7">
        <f>'Summary OD'!E102</f>
        <v>7.8370216666666659E-2</v>
      </c>
      <c r="F6" s="7">
        <f>'Summary OD'!F102</f>
        <v>7.6781566666666662E-2</v>
      </c>
      <c r="G6" s="7">
        <f>'Summary OD'!G102</f>
        <v>7.9025849999999981E-2</v>
      </c>
      <c r="H6" s="7">
        <f>'Summary OD'!H102</f>
        <v>7.1965183333333321E-2</v>
      </c>
      <c r="I6" s="7">
        <f>'Summary OD'!I102</f>
        <v>7.8042400000000012E-2</v>
      </c>
      <c r="J6" s="7">
        <f>'Summary OD'!J102</f>
        <v>7.4234683333333329E-2</v>
      </c>
      <c r="K6" s="7">
        <f>'Summary OD'!K102</f>
        <v>7.779023333333332E-2</v>
      </c>
      <c r="L6" s="7">
        <f>'Summary OD'!L102</f>
        <v>7.7689366666666648E-2</v>
      </c>
      <c r="M6" s="7">
        <f>'Summary OD'!M102</f>
        <v>7.8319783333333323E-2</v>
      </c>
      <c r="N6" s="7">
        <f>'Summary OD'!N102</f>
        <v>8.1648383333333324E-2</v>
      </c>
      <c r="O6" s="7">
        <f>'Summary OD'!O102</f>
        <v>7.6378099999999977E-2</v>
      </c>
    </row>
    <row r="7" spans="1:15" x14ac:dyDescent="0.25">
      <c r="A7" s="20">
        <f>'Summary OD'!A103</f>
        <v>41662</v>
      </c>
      <c r="B7" s="29">
        <f>'Summary OD'!B103</f>
        <v>0.4375</v>
      </c>
      <c r="C7" s="33">
        <f>'Summary OD'!C103</f>
        <v>24</v>
      </c>
      <c r="D7" s="7">
        <f>'Summary OD'!D103</f>
        <v>0.31108368000000003</v>
      </c>
      <c r="E7" s="7">
        <f>'Summary OD'!E103</f>
        <v>0.31607759999999996</v>
      </c>
      <c r="F7" s="7">
        <f>'Summary OD'!F103</f>
        <v>0.31681744000000001</v>
      </c>
      <c r="G7" s="7">
        <f>'Summary OD'!G103</f>
        <v>0.29961616000000002</v>
      </c>
      <c r="H7" s="7">
        <f>'Summary OD'!H103</f>
        <v>0.31062128000000006</v>
      </c>
      <c r="I7" s="7">
        <f>'Summary OD'!I103</f>
        <v>0.31302575999999999</v>
      </c>
      <c r="J7" s="7">
        <f>'Summary OD'!J103</f>
        <v>7.930323333333332E-2</v>
      </c>
      <c r="K7" s="7">
        <f>'Summary OD'!K103</f>
        <v>8.1295350000000002E-2</v>
      </c>
      <c r="L7" s="7">
        <f>'Summary OD'!L103</f>
        <v>8.1900549999999975E-2</v>
      </c>
      <c r="M7" s="7">
        <f>'Summary OD'!M103</f>
        <v>8.0211033333333306E-2</v>
      </c>
      <c r="N7" s="7">
        <f>'Summary OD'!N103</f>
        <v>8.1194483333333331E-2</v>
      </c>
      <c r="O7" s="7">
        <f>'Summary OD'!O103</f>
        <v>7.8874550000000002E-2</v>
      </c>
    </row>
    <row r="8" spans="1:15" x14ac:dyDescent="0.25">
      <c r="A8" s="20">
        <f>'Summary OD'!A104</f>
        <v>41663</v>
      </c>
      <c r="B8" s="29">
        <f>'Summary OD'!B104</f>
        <v>0.45833333333333331</v>
      </c>
      <c r="C8" s="33">
        <f>'Summary OD'!C104</f>
        <v>48.020833333333329</v>
      </c>
      <c r="D8" s="7">
        <f>'Summary OD'!D104</f>
        <v>0.38442032000000004</v>
      </c>
      <c r="E8" s="7">
        <f>'Summary OD'!E104</f>
        <v>0.37905648000000003</v>
      </c>
      <c r="F8" s="7">
        <f>'Summary OD'!F104</f>
        <v>0.39491680000000001</v>
      </c>
      <c r="G8" s="7">
        <f>'Summary OD'!G104</f>
        <v>0.41188688000000001</v>
      </c>
      <c r="H8" s="7">
        <f>'Summary OD'!H104</f>
        <v>0.44240527999999996</v>
      </c>
      <c r="I8" s="7">
        <f>'Summary OD'!I104</f>
        <v>0.38719471999999994</v>
      </c>
      <c r="J8" s="7">
        <f>'Summary OD'!J104</f>
        <v>8.6918666666666658E-2</v>
      </c>
      <c r="K8" s="7">
        <f>'Summary OD'!K104</f>
        <v>8.9036866666666659E-2</v>
      </c>
      <c r="L8" s="7">
        <f>'Summary OD'!L104</f>
        <v>8.0891883333333317E-2</v>
      </c>
      <c r="M8" s="7">
        <f>'Summary OD'!M104</f>
        <v>8.2934433333333321E-2</v>
      </c>
      <c r="N8" s="7">
        <f>'Summary OD'!N104</f>
        <v>8.5279583333333311E-2</v>
      </c>
      <c r="O8" s="7">
        <f>'Summary OD'!O104</f>
        <v>8.2102283333333317E-2</v>
      </c>
    </row>
    <row r="9" spans="1:15" x14ac:dyDescent="0.25">
      <c r="A9" s="20">
        <f>'Summary OD'!A105</f>
        <v>41664</v>
      </c>
      <c r="B9" s="29">
        <f>'Summary OD'!B105</f>
        <v>0.4375</v>
      </c>
      <c r="C9" s="33">
        <f>'Summary OD'!C105</f>
        <v>72</v>
      </c>
      <c r="D9" s="7">
        <f>'Summary OD'!D105</f>
        <v>0.42210592000000002</v>
      </c>
      <c r="E9" s="7">
        <f>'Summary OD'!E105</f>
        <v>0.44023200000000007</v>
      </c>
      <c r="F9" s="7">
        <f>'Summary OD'!F105</f>
        <v>0.41350528000000009</v>
      </c>
      <c r="G9" s="7">
        <f>'Summary OD'!G105</f>
        <v>0.42571263999999998</v>
      </c>
      <c r="H9" s="7">
        <f>'Summary OD'!H105</f>
        <v>0.40851135999999999</v>
      </c>
      <c r="I9" s="7">
        <f>'Summary OD'!I105</f>
        <v>0.41697328</v>
      </c>
      <c r="J9" s="7">
        <f>'Summary OD'!J105</f>
        <v>9.0448999999999988E-2</v>
      </c>
      <c r="K9" s="7">
        <f>'Summary OD'!K105</f>
        <v>9.0247266666666673E-2</v>
      </c>
      <c r="L9" s="7">
        <f>'Summary OD'!L105</f>
        <v>8.5809133333333329E-2</v>
      </c>
      <c r="M9" s="7">
        <f>'Summary OD'!M105</f>
        <v>8.974293333333333E-2</v>
      </c>
      <c r="N9" s="7">
        <f>'Summary OD'!N105</f>
        <v>8.9364683333333306E-2</v>
      </c>
      <c r="O9" s="7">
        <f>'Summary OD'!O105</f>
        <v>8.9465549999999991E-2</v>
      </c>
    </row>
    <row r="10" spans="1:15" x14ac:dyDescent="0.25">
      <c r="A10" s="20">
        <f>'Summary OD'!A106</f>
        <v>41665</v>
      </c>
      <c r="B10" s="29">
        <f>'Summary OD'!B106</f>
        <v>0.4375</v>
      </c>
      <c r="C10" s="33">
        <f>'Summary OD'!C106</f>
        <v>96</v>
      </c>
      <c r="D10" s="7">
        <f>'Summary OD'!D106</f>
        <v>0.46256591999999996</v>
      </c>
      <c r="E10" s="7">
        <f>'Summary OD'!E106</f>
        <v>0.45840432000000003</v>
      </c>
      <c r="F10" s="7">
        <f>'Summary OD'!F106</f>
        <v>0.43662528</v>
      </c>
      <c r="G10" s="7">
        <f>'Summary OD'!G106</f>
        <v>0.42719231999999996</v>
      </c>
      <c r="H10" s="7">
        <f>'Summary OD'!H106</f>
        <v>0.40606063999999997</v>
      </c>
      <c r="I10" s="7">
        <f>'Summary OD'!I106</f>
        <v>0.39103263999999993</v>
      </c>
      <c r="J10" s="7">
        <f>'Summary OD'!J106</f>
        <v>9.3676733333333317E-2</v>
      </c>
      <c r="K10" s="7">
        <f>'Summary OD'!K106</f>
        <v>9.9022666666666675E-2</v>
      </c>
      <c r="L10" s="7">
        <f>'Summary OD'!L106</f>
        <v>9.3273266666666674E-2</v>
      </c>
      <c r="M10" s="7">
        <f>'Summary OD'!M106</f>
        <v>9.3424566666666681E-2</v>
      </c>
      <c r="N10" s="7">
        <f>'Summary OD'!N106</f>
        <v>9.2340249999999985E-2</v>
      </c>
      <c r="O10" s="7">
        <f>'Summary OD'!O106</f>
        <v>9.4534099999999996E-2</v>
      </c>
    </row>
    <row r="11" spans="1:15" x14ac:dyDescent="0.25">
      <c r="A11" s="20">
        <f>'Summary OD'!A107</f>
        <v>41666</v>
      </c>
      <c r="B11" s="29">
        <f>'Summary OD'!B107</f>
        <v>0.41666666666666669</v>
      </c>
      <c r="C11" s="33">
        <f>'Summary OD'!C107</f>
        <v>119.97916666666667</v>
      </c>
      <c r="D11" s="7">
        <f>'Summary OD'!D107</f>
        <v>0.42044127999999997</v>
      </c>
      <c r="E11" s="7">
        <f>'Summary OD'!E107</f>
        <v>0.441388</v>
      </c>
      <c r="F11" s="7">
        <f>'Summary OD'!F107</f>
        <v>0.41137824000000001</v>
      </c>
      <c r="G11" s="7">
        <f>'Summary OD'!G107</f>
        <v>0.41244176000000005</v>
      </c>
      <c r="H11" s="7">
        <f>'Summary OD'!H107</f>
        <v>0.38872064000000001</v>
      </c>
      <c r="I11" s="7">
        <f>'Summary OD'!I107</f>
        <v>0.38270944000000001</v>
      </c>
      <c r="J11" s="7">
        <f>'Summary OD'!J107</f>
        <v>9.9249616666666651E-2</v>
      </c>
      <c r="K11" s="7">
        <f>'Summary OD'!K107</f>
        <v>0.10043479999999998</v>
      </c>
      <c r="L11" s="7">
        <f>'Summary OD'!L107</f>
        <v>0.10154433333333333</v>
      </c>
      <c r="M11" s="7">
        <f>'Summary OD'!M107</f>
        <v>9.7131416666666665E-2</v>
      </c>
      <c r="N11" s="7">
        <f>'Summary OD'!N107</f>
        <v>9.9728733333333319E-2</v>
      </c>
      <c r="O11" s="7">
        <f>'Summary OD'!O107</f>
        <v>9.8165299999999997E-2</v>
      </c>
    </row>
    <row r="12" spans="1:15" x14ac:dyDescent="0.25">
      <c r="A12" s="20" t="str">
        <f>'Summary OD'!A108</f>
        <v>Final</v>
      </c>
      <c r="B12" s="29"/>
      <c r="C12" s="33"/>
      <c r="D12" s="7">
        <f>'Summary OD'!D108</f>
        <v>0.4328125000000016</v>
      </c>
      <c r="E12" s="7">
        <f>'Summary OD'!E108</f>
        <v>0.42812500000000142</v>
      </c>
      <c r="F12" s="7">
        <f>'Summary OD'!F108</f>
        <v>0.39812499999999917</v>
      </c>
      <c r="G12" s="7">
        <f>'Summary OD'!G108</f>
        <v>0.39406249999999754</v>
      </c>
      <c r="H12" s="7">
        <f>'Summary OD'!H108</f>
        <v>0.39124999999999854</v>
      </c>
      <c r="I12" s="7">
        <f>'Summary OD'!I108</f>
        <v>0.38812500000000028</v>
      </c>
      <c r="J12" s="7">
        <f>'Summary OD'!J108</f>
        <v>9.6249999999997726E-2</v>
      </c>
      <c r="K12" s="7">
        <f>'Summary OD'!K108</f>
        <v>0.10531250000000436</v>
      </c>
      <c r="L12" s="7">
        <f>'Summary OD'!L108</f>
        <v>9.7500000000000364E-2</v>
      </c>
      <c r="M12" s="7">
        <f>'Summary OD'!M108</f>
        <v>0.1009374999999979</v>
      </c>
      <c r="N12" s="7">
        <f>'Summary OD'!N108</f>
        <v>9.8437499999998179E-2</v>
      </c>
      <c r="O12" s="7">
        <f>'Summary OD'!O108</f>
        <v>9.9687499999995266E-2</v>
      </c>
    </row>
    <row r="13" spans="1:15" x14ac:dyDescent="0.25">
      <c r="A13" s="6"/>
      <c r="B13" s="18"/>
      <c r="C13" s="2"/>
    </row>
    <row r="14" spans="1:15" x14ac:dyDescent="0.25">
      <c r="A14" s="6" t="s">
        <v>129</v>
      </c>
      <c r="B14" s="18"/>
      <c r="C14" s="2"/>
    </row>
    <row r="15" spans="1:15" x14ac:dyDescent="0.25">
      <c r="A15" s="6"/>
      <c r="B15" s="18"/>
      <c r="C15" s="2"/>
    </row>
    <row r="16" spans="1:15" x14ac:dyDescent="0.25">
      <c r="A16" s="6" t="s">
        <v>12</v>
      </c>
      <c r="B16" s="18" t="s">
        <v>13</v>
      </c>
      <c r="C16" s="2" t="s">
        <v>37</v>
      </c>
      <c r="D16" s="4" t="s">
        <v>38</v>
      </c>
      <c r="E16" s="4" t="s">
        <v>39</v>
      </c>
      <c r="F16" s="4" t="s">
        <v>40</v>
      </c>
      <c r="G16" s="4" t="s">
        <v>41</v>
      </c>
      <c r="H16" s="4" t="s">
        <v>42</v>
      </c>
      <c r="I16" s="4" t="s">
        <v>43</v>
      </c>
      <c r="J16" s="4" t="s">
        <v>44</v>
      </c>
      <c r="K16" s="4" t="s">
        <v>45</v>
      </c>
      <c r="L16" s="4" t="s">
        <v>46</v>
      </c>
      <c r="M16" s="4" t="s">
        <v>47</v>
      </c>
      <c r="N16" s="4" t="s">
        <v>48</v>
      </c>
      <c r="O16" s="4" t="s">
        <v>49</v>
      </c>
    </row>
    <row r="17" spans="1:15" x14ac:dyDescent="0.25">
      <c r="A17" s="20">
        <f>A6</f>
        <v>41661</v>
      </c>
      <c r="B17" s="29">
        <f>B6</f>
        <v>0.4375</v>
      </c>
      <c r="C17" s="33">
        <f>C6</f>
        <v>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pans="1:15" x14ac:dyDescent="0.25">
      <c r="A18" s="20">
        <f t="shared" ref="A18:C22" si="0">A7</f>
        <v>41662</v>
      </c>
      <c r="B18" s="29">
        <f t="shared" si="0"/>
        <v>0.4375</v>
      </c>
      <c r="C18" s="33">
        <f t="shared" si="0"/>
        <v>24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pans="1:15" x14ac:dyDescent="0.25">
      <c r="A19" s="20">
        <f t="shared" si="0"/>
        <v>41663</v>
      </c>
      <c r="B19" s="29">
        <f t="shared" si="0"/>
        <v>0.45833333333333331</v>
      </c>
      <c r="C19" s="33">
        <f t="shared" si="0"/>
        <v>48.020833333333329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pans="1:15" x14ac:dyDescent="0.25">
      <c r="A20" s="20">
        <f t="shared" si="0"/>
        <v>41664</v>
      </c>
      <c r="B20" s="29">
        <f t="shared" si="0"/>
        <v>0.4375</v>
      </c>
      <c r="C20" s="33">
        <f t="shared" si="0"/>
        <v>72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spans="1:15" x14ac:dyDescent="0.25">
      <c r="A21" s="20">
        <f t="shared" si="0"/>
        <v>41665</v>
      </c>
      <c r="B21" s="29">
        <f t="shared" si="0"/>
        <v>0.4375</v>
      </c>
      <c r="C21" s="33">
        <f t="shared" si="0"/>
        <v>96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x14ac:dyDescent="0.25">
      <c r="A22" s="20">
        <f t="shared" si="0"/>
        <v>41666</v>
      </c>
      <c r="B22" s="29">
        <f t="shared" si="0"/>
        <v>0.41666666666666669</v>
      </c>
      <c r="C22" s="33">
        <f t="shared" si="0"/>
        <v>119.97916666666667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</row>
    <row r="25" spans="1:15" x14ac:dyDescent="0.25">
      <c r="A25" s="4" t="s">
        <v>130</v>
      </c>
      <c r="C25" s="4" t="s">
        <v>131</v>
      </c>
    </row>
    <row r="27" spans="1:15" x14ac:dyDescent="0.25">
      <c r="D27" s="4" t="s">
        <v>38</v>
      </c>
      <c r="E27" s="4" t="s">
        <v>39</v>
      </c>
      <c r="F27" s="4" t="s">
        <v>40</v>
      </c>
      <c r="G27" s="4" t="s">
        <v>41</v>
      </c>
      <c r="H27" s="4" t="s">
        <v>42</v>
      </c>
      <c r="I27" s="4" t="s">
        <v>43</v>
      </c>
      <c r="J27" s="4" t="s">
        <v>44</v>
      </c>
      <c r="K27" s="4" t="s">
        <v>45</v>
      </c>
      <c r="L27" s="4" t="s">
        <v>46</v>
      </c>
      <c r="M27" s="4" t="s">
        <v>47</v>
      </c>
      <c r="N27" s="4" t="s">
        <v>48</v>
      </c>
      <c r="O27" s="4" t="s">
        <v>49</v>
      </c>
    </row>
    <row r="28" spans="1:15" x14ac:dyDescent="0.25">
      <c r="A28" s="4" t="s">
        <v>132</v>
      </c>
      <c r="D28" s="4">
        <f>(D7-D6)/1</f>
        <v>0.2191468966666667</v>
      </c>
      <c r="E28" s="4">
        <f t="shared" ref="E28:N28" si="1">(E7-E6)/1</f>
        <v>0.2377073833333333</v>
      </c>
      <c r="F28" s="4">
        <f t="shared" si="1"/>
        <v>0.24003587333333334</v>
      </c>
      <c r="G28" s="4">
        <f t="shared" si="1"/>
        <v>0.22059031000000004</v>
      </c>
      <c r="H28" s="4">
        <f t="shared" si="1"/>
        <v>0.23865609666666673</v>
      </c>
      <c r="I28" s="4">
        <f t="shared" si="1"/>
        <v>0.23498335999999997</v>
      </c>
      <c r="J28" s="4">
        <f t="shared" si="1"/>
        <v>5.0685499999999911E-3</v>
      </c>
      <c r="K28" s="4">
        <f t="shared" si="1"/>
        <v>3.5051166666666828E-3</v>
      </c>
      <c r="L28" s="4">
        <f t="shared" si="1"/>
        <v>4.2111833333333265E-3</v>
      </c>
      <c r="M28" s="4">
        <f t="shared" si="1"/>
        <v>1.8912499999999832E-3</v>
      </c>
      <c r="N28" s="4">
        <f t="shared" si="1"/>
        <v>-4.538999999999932E-4</v>
      </c>
      <c r="O28" s="4">
        <f>(O7-O6)/1</f>
        <v>2.496450000000025E-3</v>
      </c>
    </row>
    <row r="29" spans="1:15" x14ac:dyDescent="0.25">
      <c r="A29" s="4" t="s">
        <v>133</v>
      </c>
      <c r="D29" s="4">
        <f>AVERAGE(D6:D7)</f>
        <v>0.20151023166666668</v>
      </c>
      <c r="E29" s="4">
        <f t="shared" ref="E29:O29" si="2">AVERAGE(E6:E7)</f>
        <v>0.19722390833333331</v>
      </c>
      <c r="F29" s="4">
        <f t="shared" si="2"/>
        <v>0.19679950333333335</v>
      </c>
      <c r="G29" s="4">
        <f t="shared" si="2"/>
        <v>0.18932100499999999</v>
      </c>
      <c r="H29" s="4">
        <f t="shared" si="2"/>
        <v>0.19129323166666667</v>
      </c>
      <c r="I29" s="4">
        <f t="shared" si="2"/>
        <v>0.19553408</v>
      </c>
      <c r="J29" s="4">
        <f t="shared" si="2"/>
        <v>7.6768958333333331E-2</v>
      </c>
      <c r="K29" s="4">
        <f t="shared" si="2"/>
        <v>7.9542791666666668E-2</v>
      </c>
      <c r="L29" s="4">
        <f t="shared" si="2"/>
        <v>7.9794958333333305E-2</v>
      </c>
      <c r="M29" s="4">
        <f t="shared" si="2"/>
        <v>7.9265408333333315E-2</v>
      </c>
      <c r="N29" s="4">
        <f t="shared" si="2"/>
        <v>8.1421433333333321E-2</v>
      </c>
      <c r="O29" s="4">
        <f t="shared" si="2"/>
        <v>7.7626324999999996E-2</v>
      </c>
    </row>
    <row r="30" spans="1:15" x14ac:dyDescent="0.25">
      <c r="A30" s="4" t="s">
        <v>134</v>
      </c>
      <c r="D30" s="4">
        <f>D28/D29</f>
        <v>1.0875224292787979</v>
      </c>
      <c r="E30" s="4">
        <f t="shared" ref="E30:O30" si="3">E28/E29</f>
        <v>1.2052665690590505</v>
      </c>
      <c r="F30" s="4">
        <f t="shared" si="3"/>
        <v>1.2196975564860419</v>
      </c>
      <c r="G30" s="4">
        <f t="shared" si="3"/>
        <v>1.1651655345903116</v>
      </c>
      <c r="H30" s="4">
        <f t="shared" si="3"/>
        <v>1.2475929994351869</v>
      </c>
      <c r="I30" s="4">
        <f t="shared" si="3"/>
        <v>1.2017514287023519</v>
      </c>
      <c r="J30" s="4">
        <f t="shared" si="3"/>
        <v>6.6023430694372345E-2</v>
      </c>
      <c r="K30" s="4">
        <f t="shared" si="3"/>
        <v>4.4065798964603636E-2</v>
      </c>
      <c r="L30" s="4">
        <f t="shared" si="3"/>
        <v>5.2775055232708347E-2</v>
      </c>
      <c r="M30" s="4">
        <f t="shared" si="3"/>
        <v>2.3859714341554206E-2</v>
      </c>
      <c r="N30" s="4">
        <f t="shared" si="3"/>
        <v>-5.5746992090124504E-3</v>
      </c>
      <c r="O30" s="4">
        <f t="shared" si="3"/>
        <v>3.2159837529343621E-2</v>
      </c>
    </row>
    <row r="31" spans="1:15" x14ac:dyDescent="0.25">
      <c r="A31" s="4" t="s">
        <v>135</v>
      </c>
      <c r="D31" s="4">
        <f>1/D30</f>
        <v>0.91952126510453736</v>
      </c>
      <c r="E31" s="4">
        <f t="shared" ref="E31:O31" si="4">1/E30</f>
        <v>0.8296919749302416</v>
      </c>
      <c r="F31" s="4">
        <f t="shared" si="4"/>
        <v>0.81987538196026866</v>
      </c>
      <c r="G31" s="4">
        <f t="shared" si="4"/>
        <v>0.85824715056613299</v>
      </c>
      <c r="H31" s="4">
        <f t="shared" si="4"/>
        <v>0.80154345243418512</v>
      </c>
      <c r="I31" s="4">
        <f t="shared" si="4"/>
        <v>0.83211883598906766</v>
      </c>
      <c r="J31" s="4">
        <f t="shared" si="4"/>
        <v>15.146138113135603</v>
      </c>
      <c r="K31" s="4">
        <f t="shared" si="4"/>
        <v>22.693336408203141</v>
      </c>
      <c r="L31" s="4">
        <f t="shared" si="4"/>
        <v>18.948345872696141</v>
      </c>
      <c r="M31" s="4">
        <f t="shared" si="4"/>
        <v>41.911650143203715</v>
      </c>
      <c r="N31" s="4">
        <f t="shared" si="4"/>
        <v>-179.38187559668327</v>
      </c>
      <c r="O31" s="4">
        <f t="shared" si="4"/>
        <v>31.094684451921417</v>
      </c>
    </row>
    <row r="32" spans="1:15" x14ac:dyDescent="0.25">
      <c r="A32" s="4" t="s">
        <v>136</v>
      </c>
      <c r="D32" s="4" t="e">
        <f>AVERAGE(D17:D18)</f>
        <v>#DIV/0!</v>
      </c>
      <c r="E32" s="4" t="e">
        <f t="shared" ref="E32:O32" si="5">AVERAGE(E17:E18)</f>
        <v>#DIV/0!</v>
      </c>
      <c r="F32" s="4" t="e">
        <f t="shared" si="5"/>
        <v>#DIV/0!</v>
      </c>
      <c r="G32" s="4" t="e">
        <f t="shared" si="5"/>
        <v>#DIV/0!</v>
      </c>
      <c r="H32" s="4" t="e">
        <f t="shared" si="5"/>
        <v>#DIV/0!</v>
      </c>
      <c r="I32" s="4" t="e">
        <f t="shared" si="5"/>
        <v>#DIV/0!</v>
      </c>
      <c r="J32" s="4" t="e">
        <f t="shared" si="5"/>
        <v>#DIV/0!</v>
      </c>
      <c r="K32" s="4" t="e">
        <f t="shared" si="5"/>
        <v>#DIV/0!</v>
      </c>
      <c r="L32" s="4" t="e">
        <f t="shared" si="5"/>
        <v>#DIV/0!</v>
      </c>
      <c r="M32" s="4" t="e">
        <f t="shared" si="5"/>
        <v>#DIV/0!</v>
      </c>
      <c r="N32" s="4" t="e">
        <f t="shared" si="5"/>
        <v>#DIV/0!</v>
      </c>
      <c r="O32" s="4" t="e">
        <f t="shared" si="5"/>
        <v>#DIV/0!</v>
      </c>
    </row>
    <row r="33" spans="1:15" x14ac:dyDescent="0.25">
      <c r="A33" s="4" t="s">
        <v>137</v>
      </c>
      <c r="G33" s="4" t="e">
        <f>1/G32</f>
        <v>#DIV/0!</v>
      </c>
      <c r="H33" s="4" t="e">
        <f t="shared" ref="H33:O33" si="6">1/H32</f>
        <v>#DIV/0!</v>
      </c>
      <c r="I33" s="4" t="e">
        <f t="shared" si="6"/>
        <v>#DIV/0!</v>
      </c>
      <c r="J33" s="4" t="e">
        <f t="shared" si="6"/>
        <v>#DIV/0!</v>
      </c>
      <c r="K33" s="4" t="e">
        <f t="shared" si="6"/>
        <v>#DIV/0!</v>
      </c>
      <c r="L33" s="4" t="e">
        <f t="shared" si="6"/>
        <v>#DIV/0!</v>
      </c>
      <c r="M33" s="4" t="e">
        <f t="shared" si="6"/>
        <v>#DIV/0!</v>
      </c>
      <c r="N33" s="4" t="e">
        <f t="shared" si="6"/>
        <v>#DIV/0!</v>
      </c>
      <c r="O33" s="4" t="e">
        <f t="shared" si="6"/>
        <v>#DIV/0!</v>
      </c>
    </row>
    <row r="35" spans="1:15" x14ac:dyDescent="0.25">
      <c r="A35" s="4" t="s">
        <v>138</v>
      </c>
      <c r="C35" s="7">
        <f>-0.07684/0.0479</f>
        <v>-1.6041753653444679</v>
      </c>
    </row>
    <row r="36" spans="1:15" x14ac:dyDescent="0.25">
      <c r="A36" s="4" t="s">
        <v>139</v>
      </c>
      <c r="C36" s="7">
        <v>0.76839999999999997</v>
      </c>
    </row>
    <row r="37" spans="1:15" x14ac:dyDescent="0.25">
      <c r="A37" s="4" t="s">
        <v>140</v>
      </c>
      <c r="C37" s="4">
        <f>-1/C35</f>
        <v>0.6233732431025506</v>
      </c>
    </row>
    <row r="38" spans="1:15" x14ac:dyDescent="0.25">
      <c r="A38" s="4" t="s">
        <v>141</v>
      </c>
      <c r="C38" s="4">
        <f>1/C36</f>
        <v>1.3014055179593962</v>
      </c>
    </row>
    <row r="40" spans="1:15" x14ac:dyDescent="0.25">
      <c r="A40" s="4" t="s">
        <v>142</v>
      </c>
    </row>
    <row r="42" spans="1:15" x14ac:dyDescent="0.25">
      <c r="C42" s="4" t="s">
        <v>83</v>
      </c>
      <c r="D42" s="4" t="s">
        <v>38</v>
      </c>
      <c r="E42" s="4" t="s">
        <v>39</v>
      </c>
      <c r="F42" s="4" t="s">
        <v>40</v>
      </c>
      <c r="G42" s="4" t="s">
        <v>41</v>
      </c>
      <c r="H42" s="4" t="s">
        <v>42</v>
      </c>
      <c r="I42" s="4" t="s">
        <v>43</v>
      </c>
      <c r="J42" s="4" t="s">
        <v>44</v>
      </c>
      <c r="K42" s="4" t="s">
        <v>45</v>
      </c>
      <c r="L42" s="4" t="s">
        <v>46</v>
      </c>
      <c r="M42" s="4" t="s">
        <v>47</v>
      </c>
      <c r="N42" s="4" t="s">
        <v>48</v>
      </c>
      <c r="O42" s="4" t="s">
        <v>49</v>
      </c>
    </row>
    <row r="43" spans="1:15" x14ac:dyDescent="0.25">
      <c r="C43" s="4">
        <v>0</v>
      </c>
      <c r="D43" s="4">
        <f>$C$38*D17/($C$37+D17)</f>
        <v>0</v>
      </c>
      <c r="E43" s="4">
        <f t="shared" ref="E43:O43" si="7">$C$38*E17/($C$37+E17)</f>
        <v>0</v>
      </c>
      <c r="F43" s="4">
        <f t="shared" si="7"/>
        <v>0</v>
      </c>
      <c r="G43" s="4">
        <f>$C$38*G17/($C$37+G17)</f>
        <v>0</v>
      </c>
      <c r="H43" s="4">
        <f t="shared" si="7"/>
        <v>0</v>
      </c>
      <c r="I43" s="4">
        <f t="shared" si="7"/>
        <v>0</v>
      </c>
      <c r="J43" s="4">
        <f t="shared" si="7"/>
        <v>0</v>
      </c>
      <c r="K43" s="4">
        <f t="shared" si="7"/>
        <v>0</v>
      </c>
      <c r="L43" s="4">
        <f t="shared" si="7"/>
        <v>0</v>
      </c>
      <c r="M43" s="4">
        <f t="shared" si="7"/>
        <v>0</v>
      </c>
      <c r="N43" s="4">
        <f t="shared" si="7"/>
        <v>0</v>
      </c>
      <c r="O43" s="4">
        <f t="shared" si="7"/>
        <v>0</v>
      </c>
    </row>
    <row r="44" spans="1:15" x14ac:dyDescent="0.25">
      <c r="C44" s="4">
        <v>1</v>
      </c>
      <c r="D44" s="4">
        <f t="shared" ref="D44:O48" si="8">$C$38*D18/($C$37+D18)</f>
        <v>0</v>
      </c>
      <c r="E44" s="4">
        <f t="shared" si="8"/>
        <v>0</v>
      </c>
      <c r="F44" s="4">
        <f t="shared" si="8"/>
        <v>0</v>
      </c>
      <c r="G44" s="4">
        <f t="shared" si="8"/>
        <v>0</v>
      </c>
      <c r="H44" s="4">
        <f>$C$38*H18/($C$37+H18)</f>
        <v>0</v>
      </c>
      <c r="I44" s="4">
        <f t="shared" si="8"/>
        <v>0</v>
      </c>
      <c r="J44" s="4">
        <f t="shared" si="8"/>
        <v>0</v>
      </c>
      <c r="K44" s="8">
        <f>K43</f>
        <v>0</v>
      </c>
      <c r="L44" s="4">
        <f t="shared" si="8"/>
        <v>0</v>
      </c>
      <c r="M44" s="4">
        <f t="shared" si="8"/>
        <v>0</v>
      </c>
      <c r="N44" s="4">
        <f t="shared" si="8"/>
        <v>0</v>
      </c>
      <c r="O44" s="4">
        <f t="shared" si="8"/>
        <v>0</v>
      </c>
    </row>
    <row r="45" spans="1:15" x14ac:dyDescent="0.25">
      <c r="C45" s="4">
        <v>2</v>
      </c>
      <c r="D45" s="4">
        <f t="shared" si="8"/>
        <v>0</v>
      </c>
      <c r="E45" s="4">
        <f t="shared" si="8"/>
        <v>0</v>
      </c>
      <c r="F45" s="4">
        <f t="shared" si="8"/>
        <v>0</v>
      </c>
      <c r="G45" s="4">
        <f t="shared" si="8"/>
        <v>0</v>
      </c>
      <c r="H45" s="8">
        <f>H44</f>
        <v>0</v>
      </c>
      <c r="I45" s="4">
        <f t="shared" si="8"/>
        <v>0</v>
      </c>
      <c r="J45" s="4">
        <f t="shared" si="8"/>
        <v>0</v>
      </c>
      <c r="K45" s="4">
        <f t="shared" si="8"/>
        <v>0</v>
      </c>
      <c r="L45" s="4">
        <f t="shared" si="8"/>
        <v>0</v>
      </c>
      <c r="M45" s="4">
        <f t="shared" si="8"/>
        <v>0</v>
      </c>
      <c r="N45" s="4">
        <f t="shared" si="8"/>
        <v>0</v>
      </c>
      <c r="O45" s="4">
        <f t="shared" si="8"/>
        <v>0</v>
      </c>
    </row>
    <row r="46" spans="1:15" x14ac:dyDescent="0.25">
      <c r="C46" s="4">
        <v>3</v>
      </c>
      <c r="D46" s="4">
        <f t="shared" si="8"/>
        <v>0</v>
      </c>
      <c r="E46" s="4">
        <f t="shared" si="8"/>
        <v>0</v>
      </c>
      <c r="F46" s="4">
        <f t="shared" si="8"/>
        <v>0</v>
      </c>
      <c r="G46" s="4">
        <f t="shared" si="8"/>
        <v>0</v>
      </c>
      <c r="H46" s="4">
        <f t="shared" si="8"/>
        <v>0</v>
      </c>
      <c r="I46" s="4">
        <f t="shared" si="8"/>
        <v>0</v>
      </c>
      <c r="J46" s="4">
        <f t="shared" si="8"/>
        <v>0</v>
      </c>
      <c r="K46" s="4">
        <f t="shared" si="8"/>
        <v>0</v>
      </c>
      <c r="L46" s="4">
        <f t="shared" si="8"/>
        <v>0</v>
      </c>
      <c r="M46" s="4">
        <f t="shared" si="8"/>
        <v>0</v>
      </c>
      <c r="N46" s="4">
        <f t="shared" si="8"/>
        <v>0</v>
      </c>
      <c r="O46" s="4">
        <f t="shared" si="8"/>
        <v>0</v>
      </c>
    </row>
    <row r="47" spans="1:15" x14ac:dyDescent="0.25">
      <c r="C47" s="4">
        <v>4</v>
      </c>
      <c r="D47" s="4">
        <f t="shared" si="8"/>
        <v>0</v>
      </c>
      <c r="E47" s="4">
        <f t="shared" si="8"/>
        <v>0</v>
      </c>
      <c r="F47" s="4">
        <f t="shared" si="8"/>
        <v>0</v>
      </c>
      <c r="G47" s="4">
        <f t="shared" si="8"/>
        <v>0</v>
      </c>
      <c r="H47" s="4">
        <f t="shared" si="8"/>
        <v>0</v>
      </c>
      <c r="I47" s="4">
        <f t="shared" si="8"/>
        <v>0</v>
      </c>
      <c r="J47" s="4">
        <f t="shared" si="8"/>
        <v>0</v>
      </c>
      <c r="K47" s="4">
        <f t="shared" si="8"/>
        <v>0</v>
      </c>
      <c r="L47" s="4">
        <f t="shared" si="8"/>
        <v>0</v>
      </c>
      <c r="M47" s="4">
        <f t="shared" si="8"/>
        <v>0</v>
      </c>
      <c r="N47" s="4">
        <f t="shared" si="8"/>
        <v>0</v>
      </c>
      <c r="O47" s="4">
        <f t="shared" si="8"/>
        <v>0</v>
      </c>
    </row>
    <row r="48" spans="1:15" x14ac:dyDescent="0.25">
      <c r="C48" s="4">
        <v>5</v>
      </c>
      <c r="D48" s="4">
        <f t="shared" si="8"/>
        <v>0</v>
      </c>
      <c r="E48" s="4">
        <f t="shared" si="8"/>
        <v>0</v>
      </c>
      <c r="F48" s="4">
        <f t="shared" si="8"/>
        <v>0</v>
      </c>
      <c r="G48" s="4">
        <f t="shared" si="8"/>
        <v>0</v>
      </c>
      <c r="H48" s="4">
        <f t="shared" si="8"/>
        <v>0</v>
      </c>
      <c r="I48" s="4">
        <f t="shared" si="8"/>
        <v>0</v>
      </c>
      <c r="J48" s="4">
        <f t="shared" si="8"/>
        <v>0</v>
      </c>
      <c r="K48" s="4">
        <f t="shared" si="8"/>
        <v>0</v>
      </c>
      <c r="L48" s="4">
        <f t="shared" si="8"/>
        <v>0</v>
      </c>
      <c r="M48" s="4">
        <f t="shared" si="8"/>
        <v>0</v>
      </c>
      <c r="N48" s="4">
        <f t="shared" si="8"/>
        <v>0</v>
      </c>
      <c r="O48" s="4">
        <f t="shared" si="8"/>
        <v>0</v>
      </c>
    </row>
    <row r="50" spans="3:71" x14ac:dyDescent="0.25">
      <c r="C50" s="4" t="s">
        <v>143</v>
      </c>
      <c r="Q50" s="4" t="s">
        <v>144</v>
      </c>
      <c r="AE50" s="4" t="s">
        <v>145</v>
      </c>
      <c r="AS50" s="4" t="s">
        <v>146</v>
      </c>
      <c r="BG50" s="4" t="s">
        <v>147</v>
      </c>
    </row>
    <row r="51" spans="3:71" x14ac:dyDescent="0.25">
      <c r="C51" s="4" t="s">
        <v>83</v>
      </c>
      <c r="D51" s="4" t="s">
        <v>38</v>
      </c>
      <c r="E51" s="4" t="s">
        <v>39</v>
      </c>
      <c r="F51" s="4" t="s">
        <v>40</v>
      </c>
      <c r="G51" s="4" t="s">
        <v>41</v>
      </c>
      <c r="H51" s="4" t="s">
        <v>42</v>
      </c>
      <c r="I51" s="4" t="s">
        <v>43</v>
      </c>
      <c r="J51" s="4" t="s">
        <v>44</v>
      </c>
      <c r="K51" s="4" t="s">
        <v>45</v>
      </c>
      <c r="L51" s="4" t="s">
        <v>46</v>
      </c>
      <c r="M51" s="4" t="s">
        <v>47</v>
      </c>
      <c r="N51" s="4" t="s">
        <v>48</v>
      </c>
      <c r="O51" s="4" t="s">
        <v>49</v>
      </c>
      <c r="Q51" s="4" t="s">
        <v>83</v>
      </c>
      <c r="R51" s="4" t="s">
        <v>38</v>
      </c>
      <c r="S51" s="4" t="s">
        <v>39</v>
      </c>
      <c r="T51" s="4" t="s">
        <v>40</v>
      </c>
      <c r="U51" s="4" t="s">
        <v>41</v>
      </c>
      <c r="V51" s="4" t="s">
        <v>42</v>
      </c>
      <c r="W51" s="4" t="s">
        <v>43</v>
      </c>
      <c r="X51" s="4" t="s">
        <v>44</v>
      </c>
      <c r="Y51" s="4" t="s">
        <v>45</v>
      </c>
      <c r="Z51" s="4" t="s">
        <v>46</v>
      </c>
      <c r="AA51" s="4" t="s">
        <v>47</v>
      </c>
      <c r="AB51" s="4" t="s">
        <v>48</v>
      </c>
      <c r="AC51" s="4" t="s">
        <v>49</v>
      </c>
      <c r="AE51" s="4" t="s">
        <v>83</v>
      </c>
      <c r="AF51" s="4" t="s">
        <v>38</v>
      </c>
      <c r="AG51" s="4" t="s">
        <v>39</v>
      </c>
      <c r="AH51" s="4" t="s">
        <v>40</v>
      </c>
      <c r="AI51" s="4" t="s">
        <v>41</v>
      </c>
      <c r="AJ51" s="4" t="s">
        <v>42</v>
      </c>
      <c r="AK51" s="4" t="s">
        <v>43</v>
      </c>
      <c r="AL51" s="4" t="s">
        <v>44</v>
      </c>
      <c r="AM51" s="4" t="s">
        <v>45</v>
      </c>
      <c r="AN51" s="4" t="s">
        <v>46</v>
      </c>
      <c r="AO51" s="4" t="s">
        <v>47</v>
      </c>
      <c r="AP51" s="4" t="s">
        <v>48</v>
      </c>
      <c r="AQ51" s="4" t="s">
        <v>49</v>
      </c>
      <c r="AS51" s="4" t="s">
        <v>83</v>
      </c>
      <c r="AT51" s="4" t="s">
        <v>38</v>
      </c>
      <c r="AU51" s="4" t="s">
        <v>39</v>
      </c>
      <c r="AV51" s="4" t="s">
        <v>40</v>
      </c>
      <c r="AW51" s="4" t="s">
        <v>41</v>
      </c>
      <c r="AX51" s="4" t="s">
        <v>42</v>
      </c>
      <c r="AY51" s="4" t="s">
        <v>43</v>
      </c>
      <c r="AZ51" s="4" t="s">
        <v>44</v>
      </c>
      <c r="BA51" s="4" t="s">
        <v>45</v>
      </c>
      <c r="BB51" s="4" t="s">
        <v>46</v>
      </c>
      <c r="BC51" s="4" t="s">
        <v>47</v>
      </c>
      <c r="BD51" s="4" t="s">
        <v>48</v>
      </c>
      <c r="BE51" s="4" t="s">
        <v>49</v>
      </c>
      <c r="BG51" s="4" t="str">
        <f>AS51</f>
        <v>Day</v>
      </c>
      <c r="BH51" s="4" t="str">
        <f t="shared" ref="BH51:BR52" si="9">AT51</f>
        <v>Culture 1</v>
      </c>
      <c r="BI51" s="4" t="str">
        <f t="shared" si="9"/>
        <v>Culture 2</v>
      </c>
      <c r="BJ51" s="4" t="str">
        <f t="shared" si="9"/>
        <v>Culture 3</v>
      </c>
      <c r="BK51" s="4" t="str">
        <f t="shared" si="9"/>
        <v>Culture 4</v>
      </c>
      <c r="BL51" s="4" t="str">
        <f t="shared" si="9"/>
        <v>Culture 5</v>
      </c>
      <c r="BM51" s="4" t="str">
        <f t="shared" si="9"/>
        <v>Culture 6</v>
      </c>
      <c r="BN51" s="4" t="str">
        <f t="shared" si="9"/>
        <v>Culture 7</v>
      </c>
      <c r="BO51" s="4" t="str">
        <f t="shared" si="9"/>
        <v>Culture 8</v>
      </c>
      <c r="BP51" s="4" t="str">
        <f t="shared" si="9"/>
        <v>Culture 9</v>
      </c>
      <c r="BQ51" s="4" t="str">
        <f t="shared" si="9"/>
        <v>Culture 10</v>
      </c>
      <c r="BR51" s="4" t="str">
        <f t="shared" si="9"/>
        <v>Culture 11</v>
      </c>
      <c r="BS51" s="4" t="str">
        <f>BE51</f>
        <v>Culture 12</v>
      </c>
    </row>
    <row r="52" spans="3:71" x14ac:dyDescent="0.25">
      <c r="C52" s="4">
        <v>0</v>
      </c>
      <c r="D52" s="4">
        <f>D6</f>
        <v>9.1936783333333313E-2</v>
      </c>
      <c r="E52" s="4">
        <f t="shared" ref="E52:O52" si="10">E6</f>
        <v>7.8370216666666659E-2</v>
      </c>
      <c r="F52" s="4">
        <f t="shared" si="10"/>
        <v>7.6781566666666662E-2</v>
      </c>
      <c r="G52" s="4">
        <f t="shared" si="10"/>
        <v>7.9025849999999981E-2</v>
      </c>
      <c r="H52" s="4">
        <f t="shared" si="10"/>
        <v>7.1965183333333321E-2</v>
      </c>
      <c r="I52" s="4">
        <f t="shared" si="10"/>
        <v>7.8042400000000012E-2</v>
      </c>
      <c r="J52" s="4">
        <f t="shared" si="10"/>
        <v>7.4234683333333329E-2</v>
      </c>
      <c r="K52" s="4">
        <f t="shared" si="10"/>
        <v>7.779023333333332E-2</v>
      </c>
      <c r="L52" s="4">
        <f t="shared" si="10"/>
        <v>7.7689366666666648E-2</v>
      </c>
      <c r="M52" s="4">
        <f t="shared" si="10"/>
        <v>7.8319783333333323E-2</v>
      </c>
      <c r="N52" s="4">
        <f t="shared" si="10"/>
        <v>8.1648383333333324E-2</v>
      </c>
      <c r="O52" s="4">
        <f t="shared" si="10"/>
        <v>7.6378099999999977E-2</v>
      </c>
      <c r="Q52" s="4">
        <v>0</v>
      </c>
      <c r="R52" s="4">
        <f>D52</f>
        <v>9.1936783333333313E-2</v>
      </c>
      <c r="S52" s="4">
        <f t="shared" ref="S52:AC52" si="11">E52</f>
        <v>7.8370216666666659E-2</v>
      </c>
      <c r="T52" s="4">
        <f t="shared" si="11"/>
        <v>7.6781566666666662E-2</v>
      </c>
      <c r="U52" s="4">
        <f t="shared" si="11"/>
        <v>7.9025849999999981E-2</v>
      </c>
      <c r="V52" s="4">
        <f t="shared" si="11"/>
        <v>7.1965183333333321E-2</v>
      </c>
      <c r="W52" s="4">
        <f t="shared" si="11"/>
        <v>7.8042400000000012E-2</v>
      </c>
      <c r="X52" s="4">
        <f t="shared" si="11"/>
        <v>7.4234683333333329E-2</v>
      </c>
      <c r="Y52" s="4">
        <f t="shared" si="11"/>
        <v>7.779023333333332E-2</v>
      </c>
      <c r="Z52" s="4">
        <f t="shared" si="11"/>
        <v>7.7689366666666648E-2</v>
      </c>
      <c r="AA52" s="4">
        <f t="shared" si="11"/>
        <v>7.8319783333333323E-2</v>
      </c>
      <c r="AB52" s="4">
        <f t="shared" si="11"/>
        <v>8.1648383333333324E-2</v>
      </c>
      <c r="AC52" s="4">
        <f t="shared" si="11"/>
        <v>7.6378099999999977E-2</v>
      </c>
      <c r="AE52" s="4">
        <v>0</v>
      </c>
      <c r="AF52" s="4">
        <f>R52</f>
        <v>9.1936783333333313E-2</v>
      </c>
      <c r="AG52" s="4">
        <f t="shared" ref="AG52:AQ52" si="12">S52</f>
        <v>7.8370216666666659E-2</v>
      </c>
      <c r="AH52" s="4">
        <f t="shared" si="12"/>
        <v>7.6781566666666662E-2</v>
      </c>
      <c r="AI52" s="4">
        <f t="shared" si="12"/>
        <v>7.9025849999999981E-2</v>
      </c>
      <c r="AJ52" s="4">
        <f t="shared" si="12"/>
        <v>7.1965183333333321E-2</v>
      </c>
      <c r="AK52" s="4">
        <f t="shared" si="12"/>
        <v>7.8042400000000012E-2</v>
      </c>
      <c r="AL52" s="4">
        <f t="shared" si="12"/>
        <v>7.4234683333333329E-2</v>
      </c>
      <c r="AM52" s="4">
        <f t="shared" si="12"/>
        <v>7.779023333333332E-2</v>
      </c>
      <c r="AN52" s="4">
        <f t="shared" si="12"/>
        <v>7.7689366666666648E-2</v>
      </c>
      <c r="AO52" s="4">
        <f t="shared" si="12"/>
        <v>7.8319783333333323E-2</v>
      </c>
      <c r="AP52" s="4">
        <f t="shared" si="12"/>
        <v>8.1648383333333324E-2</v>
      </c>
      <c r="AQ52" s="4">
        <f t="shared" si="12"/>
        <v>7.6378099999999977E-2</v>
      </c>
      <c r="AS52" s="4">
        <v>0</v>
      </c>
      <c r="AT52" s="4">
        <f>AF52</f>
        <v>9.1936783333333313E-2</v>
      </c>
      <c r="AU52" s="4">
        <f t="shared" ref="AU52:BE52" si="13">AG52</f>
        <v>7.8370216666666659E-2</v>
      </c>
      <c r="AV52" s="4">
        <f t="shared" si="13"/>
        <v>7.6781566666666662E-2</v>
      </c>
      <c r="AW52" s="4">
        <f t="shared" si="13"/>
        <v>7.9025849999999981E-2</v>
      </c>
      <c r="AX52" s="4">
        <f t="shared" si="13"/>
        <v>7.1965183333333321E-2</v>
      </c>
      <c r="AY52" s="4">
        <f t="shared" si="13"/>
        <v>7.8042400000000012E-2</v>
      </c>
      <c r="AZ52" s="4">
        <f t="shared" si="13"/>
        <v>7.4234683333333329E-2</v>
      </c>
      <c r="BA52" s="4">
        <f t="shared" si="13"/>
        <v>7.779023333333332E-2</v>
      </c>
      <c r="BB52" s="4">
        <f t="shared" si="13"/>
        <v>7.7689366666666648E-2</v>
      </c>
      <c r="BC52" s="4">
        <f t="shared" si="13"/>
        <v>7.8319783333333323E-2</v>
      </c>
      <c r="BD52" s="4">
        <f t="shared" si="13"/>
        <v>8.1648383333333324E-2</v>
      </c>
      <c r="BE52" s="4">
        <f t="shared" si="13"/>
        <v>7.6378099999999977E-2</v>
      </c>
      <c r="BG52" s="4">
        <f>AS52</f>
        <v>0</v>
      </c>
      <c r="BH52" s="4">
        <f t="shared" si="9"/>
        <v>9.1936783333333313E-2</v>
      </c>
      <c r="BI52" s="4">
        <f t="shared" si="9"/>
        <v>7.8370216666666659E-2</v>
      </c>
      <c r="BJ52" s="4">
        <f t="shared" si="9"/>
        <v>7.6781566666666662E-2</v>
      </c>
      <c r="BK52" s="4">
        <f t="shared" si="9"/>
        <v>7.9025849999999981E-2</v>
      </c>
      <c r="BL52" s="4">
        <f t="shared" si="9"/>
        <v>7.1965183333333321E-2</v>
      </c>
      <c r="BM52" s="4">
        <f t="shared" si="9"/>
        <v>7.8042400000000012E-2</v>
      </c>
      <c r="BN52" s="4">
        <f t="shared" si="9"/>
        <v>7.4234683333333329E-2</v>
      </c>
      <c r="BO52" s="4">
        <f t="shared" si="9"/>
        <v>7.779023333333332E-2</v>
      </c>
      <c r="BP52" s="4">
        <f t="shared" si="9"/>
        <v>7.7689366666666648E-2</v>
      </c>
      <c r="BQ52" s="4">
        <f t="shared" si="9"/>
        <v>7.8319783333333323E-2</v>
      </c>
      <c r="BR52" s="4">
        <f t="shared" si="9"/>
        <v>8.1648383333333324E-2</v>
      </c>
      <c r="BS52" s="4">
        <f>BE52</f>
        <v>7.6378099999999977E-2</v>
      </c>
    </row>
    <row r="53" spans="3:71" x14ac:dyDescent="0.25">
      <c r="C53" s="4">
        <v>1</v>
      </c>
      <c r="D53" s="4">
        <f>D52+D52*D43</f>
        <v>9.1936783333333313E-2</v>
      </c>
      <c r="E53" s="4">
        <f t="shared" ref="E53:O57" si="14">E52+E52*E43</f>
        <v>7.8370216666666659E-2</v>
      </c>
      <c r="F53" s="4">
        <f t="shared" si="14"/>
        <v>7.6781566666666662E-2</v>
      </c>
      <c r="G53" s="4">
        <f t="shared" si="14"/>
        <v>7.9025849999999981E-2</v>
      </c>
      <c r="H53" s="4">
        <f t="shared" si="14"/>
        <v>7.1965183333333321E-2</v>
      </c>
      <c r="I53" s="4">
        <f t="shared" si="14"/>
        <v>7.8042400000000012E-2</v>
      </c>
      <c r="J53" s="4">
        <f t="shared" si="14"/>
        <v>7.4234683333333329E-2</v>
      </c>
      <c r="K53" s="4">
        <f t="shared" si="14"/>
        <v>7.779023333333332E-2</v>
      </c>
      <c r="L53" s="4">
        <f t="shared" si="14"/>
        <v>7.7689366666666648E-2</v>
      </c>
      <c r="M53" s="4">
        <f t="shared" si="14"/>
        <v>7.8319783333333323E-2</v>
      </c>
      <c r="N53" s="4">
        <f t="shared" si="14"/>
        <v>8.1648383333333324E-2</v>
      </c>
      <c r="O53" s="4">
        <f t="shared" si="14"/>
        <v>7.6378099999999977E-2</v>
      </c>
      <c r="Q53" s="4">
        <v>1</v>
      </c>
      <c r="R53" s="4">
        <f>R52+AVERAGE(D52:D53)*D43</f>
        <v>9.1936783333333313E-2</v>
      </c>
      <c r="S53" s="4">
        <f t="shared" ref="S53:AC57" si="15">S52+AVERAGE(E52:E53)*E43</f>
        <v>7.8370216666666659E-2</v>
      </c>
      <c r="T53" s="4">
        <f t="shared" si="15"/>
        <v>7.6781566666666662E-2</v>
      </c>
      <c r="U53" s="4">
        <f t="shared" si="15"/>
        <v>7.9025849999999981E-2</v>
      </c>
      <c r="V53" s="4">
        <f t="shared" si="15"/>
        <v>7.1965183333333321E-2</v>
      </c>
      <c r="W53" s="4">
        <f t="shared" si="15"/>
        <v>7.8042400000000012E-2</v>
      </c>
      <c r="X53" s="4">
        <f t="shared" si="15"/>
        <v>7.4234683333333329E-2</v>
      </c>
      <c r="Y53" s="4">
        <f t="shared" si="15"/>
        <v>7.779023333333332E-2</v>
      </c>
      <c r="Z53" s="4">
        <f t="shared" si="15"/>
        <v>7.7689366666666648E-2</v>
      </c>
      <c r="AA53" s="4">
        <f t="shared" si="15"/>
        <v>7.8319783333333323E-2</v>
      </c>
      <c r="AB53" s="4">
        <f t="shared" si="15"/>
        <v>8.1648383333333324E-2</v>
      </c>
      <c r="AC53" s="4">
        <f t="shared" si="15"/>
        <v>7.6378099999999977E-2</v>
      </c>
      <c r="AE53" s="4">
        <v>1</v>
      </c>
      <c r="AF53" s="4">
        <f>AF52+AVERAGE(R52:R53)*D43</f>
        <v>9.1936783333333313E-2</v>
      </c>
      <c r="AG53" s="4">
        <f t="shared" ref="AG53:AQ57" si="16">AG52+AVERAGE(S52:S53)*E43</f>
        <v>7.8370216666666659E-2</v>
      </c>
      <c r="AH53" s="4">
        <f t="shared" si="16"/>
        <v>7.6781566666666662E-2</v>
      </c>
      <c r="AI53" s="4">
        <f t="shared" si="16"/>
        <v>7.9025849999999981E-2</v>
      </c>
      <c r="AJ53" s="4">
        <f t="shared" si="16"/>
        <v>7.1965183333333321E-2</v>
      </c>
      <c r="AK53" s="4">
        <f t="shared" si="16"/>
        <v>7.8042400000000012E-2</v>
      </c>
      <c r="AL53" s="4">
        <f t="shared" si="16"/>
        <v>7.4234683333333329E-2</v>
      </c>
      <c r="AM53" s="4">
        <f t="shared" si="16"/>
        <v>7.779023333333332E-2</v>
      </c>
      <c r="AN53" s="4">
        <f t="shared" si="16"/>
        <v>7.7689366666666648E-2</v>
      </c>
      <c r="AO53" s="4">
        <f t="shared" si="16"/>
        <v>7.8319783333333323E-2</v>
      </c>
      <c r="AP53" s="4">
        <f t="shared" si="16"/>
        <v>8.1648383333333324E-2</v>
      </c>
      <c r="AQ53" s="4">
        <f t="shared" si="16"/>
        <v>7.6378099999999977E-2</v>
      </c>
      <c r="AS53" s="4">
        <v>1</v>
      </c>
      <c r="AT53" s="4">
        <f>AT52+AVERAGE(AF52:AF53)*D43</f>
        <v>9.1936783333333313E-2</v>
      </c>
      <c r="AU53" s="4">
        <f t="shared" ref="AU53:BE57" si="17">AU52+AVERAGE(AG52:AG53)*E43</f>
        <v>7.8370216666666659E-2</v>
      </c>
      <c r="AV53" s="4">
        <f t="shared" si="17"/>
        <v>7.6781566666666662E-2</v>
      </c>
      <c r="AW53" s="4">
        <f t="shared" si="17"/>
        <v>7.9025849999999981E-2</v>
      </c>
      <c r="AX53" s="4">
        <f t="shared" si="17"/>
        <v>7.1965183333333321E-2</v>
      </c>
      <c r="AY53" s="4">
        <f t="shared" si="17"/>
        <v>7.8042400000000012E-2</v>
      </c>
      <c r="AZ53" s="4">
        <f t="shared" si="17"/>
        <v>7.4234683333333329E-2</v>
      </c>
      <c r="BA53" s="4">
        <f t="shared" si="17"/>
        <v>7.779023333333332E-2</v>
      </c>
      <c r="BB53" s="4">
        <f t="shared" si="17"/>
        <v>7.7689366666666648E-2</v>
      </c>
      <c r="BC53" s="4">
        <f t="shared" si="17"/>
        <v>7.8319783333333323E-2</v>
      </c>
      <c r="BD53" s="4">
        <f t="shared" si="17"/>
        <v>8.1648383333333324E-2</v>
      </c>
      <c r="BE53" s="4">
        <f t="shared" si="17"/>
        <v>7.6378099999999977E-2</v>
      </c>
      <c r="BG53" s="4">
        <v>1</v>
      </c>
      <c r="BH53" s="4">
        <f>BH52+AVERAGE(AT52:AT53)*D43</f>
        <v>9.1936783333333313E-2</v>
      </c>
      <c r="BI53" s="4">
        <f t="shared" ref="BI53:BS57" si="18">BI52+AVERAGE(AU52:AU53)*E43</f>
        <v>7.8370216666666659E-2</v>
      </c>
      <c r="BJ53" s="4">
        <f t="shared" si="18"/>
        <v>7.6781566666666662E-2</v>
      </c>
      <c r="BK53" s="4">
        <f t="shared" si="18"/>
        <v>7.9025849999999981E-2</v>
      </c>
      <c r="BL53" s="4">
        <f t="shared" si="18"/>
        <v>7.1965183333333321E-2</v>
      </c>
      <c r="BM53" s="4">
        <f t="shared" si="18"/>
        <v>7.8042400000000012E-2</v>
      </c>
      <c r="BN53" s="4">
        <f t="shared" si="18"/>
        <v>7.4234683333333329E-2</v>
      </c>
      <c r="BO53" s="4">
        <f t="shared" si="18"/>
        <v>7.779023333333332E-2</v>
      </c>
      <c r="BP53" s="4">
        <f t="shared" si="18"/>
        <v>7.7689366666666648E-2</v>
      </c>
      <c r="BQ53" s="4">
        <f t="shared" si="18"/>
        <v>7.8319783333333323E-2</v>
      </c>
      <c r="BR53" s="4">
        <f t="shared" si="18"/>
        <v>8.1648383333333324E-2</v>
      </c>
      <c r="BS53" s="4">
        <f t="shared" si="18"/>
        <v>7.6378099999999977E-2</v>
      </c>
    </row>
    <row r="54" spans="3:71" x14ac:dyDescent="0.25">
      <c r="C54" s="4">
        <v>2</v>
      </c>
      <c r="D54" s="4">
        <f t="shared" ref="D54:D57" si="19">D53+D53*D44</f>
        <v>9.1936783333333313E-2</v>
      </c>
      <c r="E54" s="4">
        <f t="shared" si="14"/>
        <v>7.8370216666666659E-2</v>
      </c>
      <c r="F54" s="4">
        <f t="shared" si="14"/>
        <v>7.6781566666666662E-2</v>
      </c>
      <c r="G54" s="4">
        <f t="shared" si="14"/>
        <v>7.9025849999999981E-2</v>
      </c>
      <c r="H54" s="4">
        <f t="shared" si="14"/>
        <v>7.1965183333333321E-2</v>
      </c>
      <c r="I54" s="4">
        <f t="shared" si="14"/>
        <v>7.8042400000000012E-2</v>
      </c>
      <c r="J54" s="4">
        <f t="shared" si="14"/>
        <v>7.4234683333333329E-2</v>
      </c>
      <c r="K54" s="4">
        <f t="shared" si="14"/>
        <v>7.779023333333332E-2</v>
      </c>
      <c r="L54" s="4">
        <f t="shared" si="14"/>
        <v>7.7689366666666648E-2</v>
      </c>
      <c r="M54" s="4">
        <f t="shared" si="14"/>
        <v>7.8319783333333323E-2</v>
      </c>
      <c r="N54" s="4">
        <f t="shared" si="14"/>
        <v>8.1648383333333324E-2</v>
      </c>
      <c r="O54" s="4">
        <f t="shared" si="14"/>
        <v>7.6378099999999977E-2</v>
      </c>
      <c r="Q54" s="4">
        <v>2</v>
      </c>
      <c r="R54" s="4">
        <f t="shared" ref="R54:R57" si="20">R53+AVERAGE(D53:D54)*D44</f>
        <v>9.1936783333333313E-2</v>
      </c>
      <c r="S54" s="4">
        <f t="shared" si="15"/>
        <v>7.8370216666666659E-2</v>
      </c>
      <c r="T54" s="4">
        <f t="shared" si="15"/>
        <v>7.6781566666666662E-2</v>
      </c>
      <c r="U54" s="4">
        <f t="shared" si="15"/>
        <v>7.9025849999999981E-2</v>
      </c>
      <c r="V54" s="4">
        <f t="shared" si="15"/>
        <v>7.1965183333333321E-2</v>
      </c>
      <c r="W54" s="4">
        <f t="shared" si="15"/>
        <v>7.8042400000000012E-2</v>
      </c>
      <c r="X54" s="4">
        <f t="shared" si="15"/>
        <v>7.4234683333333329E-2</v>
      </c>
      <c r="Y54" s="4">
        <f t="shared" si="15"/>
        <v>7.779023333333332E-2</v>
      </c>
      <c r="Z54" s="4">
        <f t="shared" si="15"/>
        <v>7.7689366666666648E-2</v>
      </c>
      <c r="AA54" s="4">
        <f t="shared" si="15"/>
        <v>7.8319783333333323E-2</v>
      </c>
      <c r="AB54" s="4">
        <f t="shared" si="15"/>
        <v>8.1648383333333324E-2</v>
      </c>
      <c r="AC54" s="4">
        <f t="shared" si="15"/>
        <v>7.6378099999999977E-2</v>
      </c>
      <c r="AE54" s="4">
        <v>2</v>
      </c>
      <c r="AF54" s="4">
        <f t="shared" ref="AF54:AF57" si="21">AF53+AVERAGE(R53:R54)*D44</f>
        <v>9.1936783333333313E-2</v>
      </c>
      <c r="AG54" s="4">
        <f t="shared" si="16"/>
        <v>7.8370216666666659E-2</v>
      </c>
      <c r="AH54" s="4">
        <f t="shared" si="16"/>
        <v>7.6781566666666662E-2</v>
      </c>
      <c r="AI54" s="4">
        <f t="shared" si="16"/>
        <v>7.9025849999999981E-2</v>
      </c>
      <c r="AJ54" s="4">
        <f t="shared" si="16"/>
        <v>7.1965183333333321E-2</v>
      </c>
      <c r="AK54" s="4">
        <f t="shared" si="16"/>
        <v>7.8042400000000012E-2</v>
      </c>
      <c r="AL54" s="4">
        <f t="shared" si="16"/>
        <v>7.4234683333333329E-2</v>
      </c>
      <c r="AM54" s="4">
        <f t="shared" si="16"/>
        <v>7.779023333333332E-2</v>
      </c>
      <c r="AN54" s="4">
        <f t="shared" si="16"/>
        <v>7.7689366666666648E-2</v>
      </c>
      <c r="AO54" s="4">
        <f t="shared" si="16"/>
        <v>7.8319783333333323E-2</v>
      </c>
      <c r="AP54" s="4">
        <f t="shared" si="16"/>
        <v>8.1648383333333324E-2</v>
      </c>
      <c r="AQ54" s="4">
        <f t="shared" si="16"/>
        <v>7.6378099999999977E-2</v>
      </c>
      <c r="AS54" s="4">
        <v>2</v>
      </c>
      <c r="AT54" s="4">
        <f t="shared" ref="AT54:AT57" si="22">AT53+AVERAGE(AF53:AF54)*D44</f>
        <v>9.1936783333333313E-2</v>
      </c>
      <c r="AU54" s="4">
        <f t="shared" si="17"/>
        <v>7.8370216666666659E-2</v>
      </c>
      <c r="AV54" s="4">
        <f t="shared" si="17"/>
        <v>7.6781566666666662E-2</v>
      </c>
      <c r="AW54" s="4">
        <f t="shared" si="17"/>
        <v>7.9025849999999981E-2</v>
      </c>
      <c r="AX54" s="4">
        <f t="shared" si="17"/>
        <v>7.1965183333333321E-2</v>
      </c>
      <c r="AY54" s="4">
        <f t="shared" si="17"/>
        <v>7.8042400000000012E-2</v>
      </c>
      <c r="AZ54" s="4">
        <f t="shared" si="17"/>
        <v>7.4234683333333329E-2</v>
      </c>
      <c r="BA54" s="4">
        <f t="shared" si="17"/>
        <v>7.779023333333332E-2</v>
      </c>
      <c r="BB54" s="4">
        <f t="shared" si="17"/>
        <v>7.7689366666666648E-2</v>
      </c>
      <c r="BC54" s="4">
        <f t="shared" si="17"/>
        <v>7.8319783333333323E-2</v>
      </c>
      <c r="BD54" s="4">
        <f t="shared" si="17"/>
        <v>8.1648383333333324E-2</v>
      </c>
      <c r="BE54" s="4">
        <f t="shared" si="17"/>
        <v>7.6378099999999977E-2</v>
      </c>
      <c r="BG54" s="4">
        <v>2</v>
      </c>
      <c r="BH54" s="4">
        <f t="shared" ref="BH54:BH57" si="23">BH53+AVERAGE(AT53:AT54)*D44</f>
        <v>9.1936783333333313E-2</v>
      </c>
      <c r="BI54" s="4">
        <f t="shared" si="18"/>
        <v>7.8370216666666659E-2</v>
      </c>
      <c r="BJ54" s="4">
        <f t="shared" si="18"/>
        <v>7.6781566666666662E-2</v>
      </c>
      <c r="BK54" s="4">
        <f t="shared" si="18"/>
        <v>7.9025849999999981E-2</v>
      </c>
      <c r="BL54" s="4">
        <f t="shared" si="18"/>
        <v>7.1965183333333321E-2</v>
      </c>
      <c r="BM54" s="4">
        <f t="shared" si="18"/>
        <v>7.8042400000000012E-2</v>
      </c>
      <c r="BN54" s="4">
        <f t="shared" si="18"/>
        <v>7.4234683333333329E-2</v>
      </c>
      <c r="BO54" s="4">
        <f t="shared" si="18"/>
        <v>7.779023333333332E-2</v>
      </c>
      <c r="BP54" s="4">
        <f t="shared" si="18"/>
        <v>7.7689366666666648E-2</v>
      </c>
      <c r="BQ54" s="4">
        <f t="shared" si="18"/>
        <v>7.8319783333333323E-2</v>
      </c>
      <c r="BR54" s="4">
        <f t="shared" si="18"/>
        <v>8.1648383333333324E-2</v>
      </c>
      <c r="BS54" s="4">
        <f t="shared" si="18"/>
        <v>7.6378099999999977E-2</v>
      </c>
    </row>
    <row r="55" spans="3:71" x14ac:dyDescent="0.25">
      <c r="C55" s="4">
        <v>3</v>
      </c>
      <c r="D55" s="4">
        <f t="shared" si="19"/>
        <v>9.1936783333333313E-2</v>
      </c>
      <c r="E55" s="4">
        <f t="shared" si="14"/>
        <v>7.8370216666666659E-2</v>
      </c>
      <c r="F55" s="4">
        <f t="shared" si="14"/>
        <v>7.6781566666666662E-2</v>
      </c>
      <c r="G55" s="4">
        <f t="shared" si="14"/>
        <v>7.9025849999999981E-2</v>
      </c>
      <c r="H55" s="4">
        <f t="shared" si="14"/>
        <v>7.1965183333333321E-2</v>
      </c>
      <c r="I55" s="4">
        <f t="shared" si="14"/>
        <v>7.8042400000000012E-2</v>
      </c>
      <c r="J55" s="4">
        <f t="shared" si="14"/>
        <v>7.4234683333333329E-2</v>
      </c>
      <c r="K55" s="4">
        <f t="shared" si="14"/>
        <v>7.779023333333332E-2</v>
      </c>
      <c r="L55" s="4">
        <f t="shared" si="14"/>
        <v>7.7689366666666648E-2</v>
      </c>
      <c r="M55" s="4">
        <f t="shared" si="14"/>
        <v>7.8319783333333323E-2</v>
      </c>
      <c r="N55" s="4">
        <f t="shared" si="14"/>
        <v>8.1648383333333324E-2</v>
      </c>
      <c r="O55" s="4">
        <f t="shared" si="14"/>
        <v>7.6378099999999977E-2</v>
      </c>
      <c r="Q55" s="4">
        <v>3</v>
      </c>
      <c r="R55" s="4">
        <f t="shared" si="20"/>
        <v>9.1936783333333313E-2</v>
      </c>
      <c r="S55" s="4">
        <f t="shared" si="15"/>
        <v>7.8370216666666659E-2</v>
      </c>
      <c r="T55" s="4">
        <f t="shared" si="15"/>
        <v>7.6781566666666662E-2</v>
      </c>
      <c r="U55" s="4">
        <f t="shared" si="15"/>
        <v>7.9025849999999981E-2</v>
      </c>
      <c r="V55" s="4">
        <f t="shared" si="15"/>
        <v>7.1965183333333321E-2</v>
      </c>
      <c r="W55" s="4">
        <f t="shared" si="15"/>
        <v>7.8042400000000012E-2</v>
      </c>
      <c r="X55" s="4">
        <f t="shared" si="15"/>
        <v>7.4234683333333329E-2</v>
      </c>
      <c r="Y55" s="4">
        <f t="shared" si="15"/>
        <v>7.779023333333332E-2</v>
      </c>
      <c r="Z55" s="4">
        <f t="shared" si="15"/>
        <v>7.7689366666666648E-2</v>
      </c>
      <c r="AA55" s="4">
        <f t="shared" si="15"/>
        <v>7.8319783333333323E-2</v>
      </c>
      <c r="AB55" s="4">
        <f t="shared" si="15"/>
        <v>8.1648383333333324E-2</v>
      </c>
      <c r="AC55" s="4">
        <f t="shared" si="15"/>
        <v>7.6378099999999977E-2</v>
      </c>
      <c r="AE55" s="4">
        <v>3</v>
      </c>
      <c r="AF55" s="4">
        <f t="shared" si="21"/>
        <v>9.1936783333333313E-2</v>
      </c>
      <c r="AG55" s="4">
        <f t="shared" si="16"/>
        <v>7.8370216666666659E-2</v>
      </c>
      <c r="AH55" s="4">
        <f t="shared" si="16"/>
        <v>7.6781566666666662E-2</v>
      </c>
      <c r="AI55" s="4">
        <f t="shared" si="16"/>
        <v>7.9025849999999981E-2</v>
      </c>
      <c r="AJ55" s="4">
        <f t="shared" si="16"/>
        <v>7.1965183333333321E-2</v>
      </c>
      <c r="AK55" s="4">
        <f t="shared" si="16"/>
        <v>7.8042400000000012E-2</v>
      </c>
      <c r="AL55" s="4">
        <f t="shared" si="16"/>
        <v>7.4234683333333329E-2</v>
      </c>
      <c r="AM55" s="4">
        <f t="shared" si="16"/>
        <v>7.779023333333332E-2</v>
      </c>
      <c r="AN55" s="4">
        <f t="shared" si="16"/>
        <v>7.7689366666666648E-2</v>
      </c>
      <c r="AO55" s="4">
        <f t="shared" si="16"/>
        <v>7.8319783333333323E-2</v>
      </c>
      <c r="AP55" s="4">
        <f t="shared" si="16"/>
        <v>8.1648383333333324E-2</v>
      </c>
      <c r="AQ55" s="4">
        <f t="shared" si="16"/>
        <v>7.6378099999999977E-2</v>
      </c>
      <c r="AS55" s="4">
        <v>3</v>
      </c>
      <c r="AT55" s="4">
        <f t="shared" si="22"/>
        <v>9.1936783333333313E-2</v>
      </c>
      <c r="AU55" s="4">
        <f t="shared" si="17"/>
        <v>7.8370216666666659E-2</v>
      </c>
      <c r="AV55" s="4">
        <f t="shared" si="17"/>
        <v>7.6781566666666662E-2</v>
      </c>
      <c r="AW55" s="4">
        <f t="shared" si="17"/>
        <v>7.9025849999999981E-2</v>
      </c>
      <c r="AX55" s="4">
        <f t="shared" si="17"/>
        <v>7.1965183333333321E-2</v>
      </c>
      <c r="AY55" s="4">
        <f t="shared" si="17"/>
        <v>7.8042400000000012E-2</v>
      </c>
      <c r="AZ55" s="4">
        <f t="shared" si="17"/>
        <v>7.4234683333333329E-2</v>
      </c>
      <c r="BA55" s="4">
        <f t="shared" si="17"/>
        <v>7.779023333333332E-2</v>
      </c>
      <c r="BB55" s="4">
        <f t="shared" si="17"/>
        <v>7.7689366666666648E-2</v>
      </c>
      <c r="BC55" s="4">
        <f t="shared" si="17"/>
        <v>7.8319783333333323E-2</v>
      </c>
      <c r="BD55" s="4">
        <f t="shared" si="17"/>
        <v>8.1648383333333324E-2</v>
      </c>
      <c r="BE55" s="4">
        <f t="shared" si="17"/>
        <v>7.6378099999999977E-2</v>
      </c>
      <c r="BG55" s="4">
        <v>3</v>
      </c>
      <c r="BH55" s="4">
        <f t="shared" si="23"/>
        <v>9.1936783333333313E-2</v>
      </c>
      <c r="BI55" s="4">
        <f t="shared" si="18"/>
        <v>7.8370216666666659E-2</v>
      </c>
      <c r="BJ55" s="4">
        <f t="shared" si="18"/>
        <v>7.6781566666666662E-2</v>
      </c>
      <c r="BK55" s="4">
        <f t="shared" si="18"/>
        <v>7.9025849999999981E-2</v>
      </c>
      <c r="BL55" s="4">
        <f t="shared" si="18"/>
        <v>7.1965183333333321E-2</v>
      </c>
      <c r="BM55" s="4">
        <f t="shared" si="18"/>
        <v>7.8042400000000012E-2</v>
      </c>
      <c r="BN55" s="4">
        <f t="shared" si="18"/>
        <v>7.4234683333333329E-2</v>
      </c>
      <c r="BO55" s="4">
        <f t="shared" si="18"/>
        <v>7.779023333333332E-2</v>
      </c>
      <c r="BP55" s="4">
        <f t="shared" si="18"/>
        <v>7.7689366666666648E-2</v>
      </c>
      <c r="BQ55" s="4">
        <f t="shared" si="18"/>
        <v>7.8319783333333323E-2</v>
      </c>
      <c r="BR55" s="4">
        <f t="shared" si="18"/>
        <v>8.1648383333333324E-2</v>
      </c>
      <c r="BS55" s="4">
        <f t="shared" si="18"/>
        <v>7.6378099999999977E-2</v>
      </c>
    </row>
    <row r="56" spans="3:71" x14ac:dyDescent="0.25">
      <c r="C56" s="4">
        <v>4</v>
      </c>
      <c r="D56" s="4">
        <f t="shared" si="19"/>
        <v>9.1936783333333313E-2</v>
      </c>
      <c r="E56" s="4">
        <f t="shared" si="14"/>
        <v>7.8370216666666659E-2</v>
      </c>
      <c r="F56" s="4">
        <f t="shared" si="14"/>
        <v>7.6781566666666662E-2</v>
      </c>
      <c r="G56" s="4">
        <f t="shared" si="14"/>
        <v>7.9025849999999981E-2</v>
      </c>
      <c r="H56" s="4">
        <f t="shared" si="14"/>
        <v>7.1965183333333321E-2</v>
      </c>
      <c r="I56" s="4">
        <f t="shared" si="14"/>
        <v>7.8042400000000012E-2</v>
      </c>
      <c r="J56" s="4">
        <f t="shared" si="14"/>
        <v>7.4234683333333329E-2</v>
      </c>
      <c r="K56" s="4">
        <f t="shared" si="14"/>
        <v>7.779023333333332E-2</v>
      </c>
      <c r="L56" s="4">
        <f t="shared" si="14"/>
        <v>7.7689366666666648E-2</v>
      </c>
      <c r="M56" s="4">
        <f t="shared" si="14"/>
        <v>7.8319783333333323E-2</v>
      </c>
      <c r="N56" s="4">
        <f t="shared" si="14"/>
        <v>8.1648383333333324E-2</v>
      </c>
      <c r="O56" s="4">
        <f t="shared" si="14"/>
        <v>7.6378099999999977E-2</v>
      </c>
      <c r="Q56" s="4">
        <v>4</v>
      </c>
      <c r="R56" s="4">
        <f t="shared" si="20"/>
        <v>9.1936783333333313E-2</v>
      </c>
      <c r="S56" s="4">
        <f t="shared" si="15"/>
        <v>7.8370216666666659E-2</v>
      </c>
      <c r="T56" s="4">
        <f t="shared" si="15"/>
        <v>7.6781566666666662E-2</v>
      </c>
      <c r="U56" s="4">
        <f t="shared" si="15"/>
        <v>7.9025849999999981E-2</v>
      </c>
      <c r="V56" s="4">
        <f t="shared" si="15"/>
        <v>7.1965183333333321E-2</v>
      </c>
      <c r="W56" s="4">
        <f t="shared" si="15"/>
        <v>7.8042400000000012E-2</v>
      </c>
      <c r="X56" s="4">
        <f t="shared" si="15"/>
        <v>7.4234683333333329E-2</v>
      </c>
      <c r="Y56" s="4">
        <f t="shared" si="15"/>
        <v>7.779023333333332E-2</v>
      </c>
      <c r="Z56" s="4">
        <f t="shared" si="15"/>
        <v>7.7689366666666648E-2</v>
      </c>
      <c r="AA56" s="4">
        <f t="shared" si="15"/>
        <v>7.8319783333333323E-2</v>
      </c>
      <c r="AB56" s="4">
        <f t="shared" si="15"/>
        <v>8.1648383333333324E-2</v>
      </c>
      <c r="AC56" s="4">
        <f t="shared" si="15"/>
        <v>7.6378099999999977E-2</v>
      </c>
      <c r="AE56" s="4">
        <v>4</v>
      </c>
      <c r="AF56" s="4">
        <f t="shared" si="21"/>
        <v>9.1936783333333313E-2</v>
      </c>
      <c r="AG56" s="4">
        <f t="shared" si="16"/>
        <v>7.8370216666666659E-2</v>
      </c>
      <c r="AH56" s="4">
        <f t="shared" si="16"/>
        <v>7.6781566666666662E-2</v>
      </c>
      <c r="AI56" s="4">
        <f t="shared" si="16"/>
        <v>7.9025849999999981E-2</v>
      </c>
      <c r="AJ56" s="4">
        <f t="shared" si="16"/>
        <v>7.1965183333333321E-2</v>
      </c>
      <c r="AK56" s="4">
        <f t="shared" si="16"/>
        <v>7.8042400000000012E-2</v>
      </c>
      <c r="AL56" s="4">
        <f t="shared" si="16"/>
        <v>7.4234683333333329E-2</v>
      </c>
      <c r="AM56" s="4">
        <f t="shared" si="16"/>
        <v>7.779023333333332E-2</v>
      </c>
      <c r="AN56" s="4">
        <f t="shared" si="16"/>
        <v>7.7689366666666648E-2</v>
      </c>
      <c r="AO56" s="4">
        <f t="shared" si="16"/>
        <v>7.8319783333333323E-2</v>
      </c>
      <c r="AP56" s="4">
        <f t="shared" si="16"/>
        <v>8.1648383333333324E-2</v>
      </c>
      <c r="AQ56" s="4">
        <f t="shared" si="16"/>
        <v>7.6378099999999977E-2</v>
      </c>
      <c r="AS56" s="4">
        <v>4</v>
      </c>
      <c r="AT56" s="4">
        <f t="shared" si="22"/>
        <v>9.1936783333333313E-2</v>
      </c>
      <c r="AU56" s="4">
        <f t="shared" si="17"/>
        <v>7.8370216666666659E-2</v>
      </c>
      <c r="AV56" s="4">
        <f t="shared" si="17"/>
        <v>7.6781566666666662E-2</v>
      </c>
      <c r="AW56" s="4">
        <f t="shared" si="17"/>
        <v>7.9025849999999981E-2</v>
      </c>
      <c r="AX56" s="4">
        <f t="shared" si="17"/>
        <v>7.1965183333333321E-2</v>
      </c>
      <c r="AY56" s="4">
        <f t="shared" si="17"/>
        <v>7.8042400000000012E-2</v>
      </c>
      <c r="AZ56" s="4">
        <f t="shared" si="17"/>
        <v>7.4234683333333329E-2</v>
      </c>
      <c r="BA56" s="4">
        <f t="shared" si="17"/>
        <v>7.779023333333332E-2</v>
      </c>
      <c r="BB56" s="4">
        <f t="shared" si="17"/>
        <v>7.7689366666666648E-2</v>
      </c>
      <c r="BC56" s="4">
        <f t="shared" si="17"/>
        <v>7.8319783333333323E-2</v>
      </c>
      <c r="BD56" s="4">
        <f t="shared" si="17"/>
        <v>8.1648383333333324E-2</v>
      </c>
      <c r="BE56" s="4">
        <f t="shared" si="17"/>
        <v>7.6378099999999977E-2</v>
      </c>
      <c r="BG56" s="4">
        <v>4</v>
      </c>
      <c r="BH56" s="4">
        <f t="shared" si="23"/>
        <v>9.1936783333333313E-2</v>
      </c>
      <c r="BI56" s="4">
        <f t="shared" si="18"/>
        <v>7.8370216666666659E-2</v>
      </c>
      <c r="BJ56" s="4">
        <f t="shared" si="18"/>
        <v>7.6781566666666662E-2</v>
      </c>
      <c r="BK56" s="4">
        <f t="shared" si="18"/>
        <v>7.9025849999999981E-2</v>
      </c>
      <c r="BL56" s="4">
        <f t="shared" si="18"/>
        <v>7.1965183333333321E-2</v>
      </c>
      <c r="BM56" s="4">
        <f t="shared" si="18"/>
        <v>7.8042400000000012E-2</v>
      </c>
      <c r="BN56" s="4">
        <f t="shared" si="18"/>
        <v>7.4234683333333329E-2</v>
      </c>
      <c r="BO56" s="4">
        <f t="shared" si="18"/>
        <v>7.779023333333332E-2</v>
      </c>
      <c r="BP56" s="4">
        <f t="shared" si="18"/>
        <v>7.7689366666666648E-2</v>
      </c>
      <c r="BQ56" s="4">
        <f t="shared" si="18"/>
        <v>7.8319783333333323E-2</v>
      </c>
      <c r="BR56" s="4">
        <f t="shared" si="18"/>
        <v>8.1648383333333324E-2</v>
      </c>
      <c r="BS56" s="4">
        <f t="shared" si="18"/>
        <v>7.6378099999999977E-2</v>
      </c>
    </row>
    <row r="57" spans="3:71" x14ac:dyDescent="0.25">
      <c r="C57" s="4">
        <v>5</v>
      </c>
      <c r="D57" s="4">
        <f t="shared" si="19"/>
        <v>9.1936783333333313E-2</v>
      </c>
      <c r="E57" s="4">
        <f t="shared" si="14"/>
        <v>7.8370216666666659E-2</v>
      </c>
      <c r="F57" s="4">
        <f t="shared" si="14"/>
        <v>7.6781566666666662E-2</v>
      </c>
      <c r="G57" s="4">
        <f t="shared" si="14"/>
        <v>7.9025849999999981E-2</v>
      </c>
      <c r="H57" s="4">
        <f t="shared" si="14"/>
        <v>7.1965183333333321E-2</v>
      </c>
      <c r="I57" s="4">
        <f t="shared" si="14"/>
        <v>7.8042400000000012E-2</v>
      </c>
      <c r="J57" s="4">
        <f t="shared" si="14"/>
        <v>7.4234683333333329E-2</v>
      </c>
      <c r="K57" s="4">
        <f t="shared" si="14"/>
        <v>7.779023333333332E-2</v>
      </c>
      <c r="L57" s="4">
        <f t="shared" si="14"/>
        <v>7.7689366666666648E-2</v>
      </c>
      <c r="M57" s="4">
        <f t="shared" si="14"/>
        <v>7.8319783333333323E-2</v>
      </c>
      <c r="N57" s="4">
        <f t="shared" si="14"/>
        <v>8.1648383333333324E-2</v>
      </c>
      <c r="O57" s="4">
        <f t="shared" si="14"/>
        <v>7.6378099999999977E-2</v>
      </c>
      <c r="Q57" s="4">
        <v>5</v>
      </c>
      <c r="R57" s="4">
        <f t="shared" si="20"/>
        <v>9.1936783333333313E-2</v>
      </c>
      <c r="S57" s="4">
        <f t="shared" si="15"/>
        <v>7.8370216666666659E-2</v>
      </c>
      <c r="T57" s="4">
        <f t="shared" si="15"/>
        <v>7.6781566666666662E-2</v>
      </c>
      <c r="U57" s="4">
        <f t="shared" si="15"/>
        <v>7.9025849999999981E-2</v>
      </c>
      <c r="V57" s="4">
        <f t="shared" si="15"/>
        <v>7.1965183333333321E-2</v>
      </c>
      <c r="W57" s="4">
        <f t="shared" si="15"/>
        <v>7.8042400000000012E-2</v>
      </c>
      <c r="X57" s="4">
        <f t="shared" si="15"/>
        <v>7.4234683333333329E-2</v>
      </c>
      <c r="Y57" s="4">
        <f t="shared" si="15"/>
        <v>7.779023333333332E-2</v>
      </c>
      <c r="Z57" s="4">
        <f t="shared" si="15"/>
        <v>7.7689366666666648E-2</v>
      </c>
      <c r="AA57" s="4">
        <f t="shared" si="15"/>
        <v>7.8319783333333323E-2</v>
      </c>
      <c r="AB57" s="4">
        <f t="shared" si="15"/>
        <v>8.1648383333333324E-2</v>
      </c>
      <c r="AC57" s="4">
        <f t="shared" si="15"/>
        <v>7.6378099999999977E-2</v>
      </c>
      <c r="AE57" s="4">
        <v>5</v>
      </c>
      <c r="AF57" s="4">
        <f t="shared" si="21"/>
        <v>9.1936783333333313E-2</v>
      </c>
      <c r="AG57" s="4">
        <f t="shared" si="16"/>
        <v>7.8370216666666659E-2</v>
      </c>
      <c r="AH57" s="4">
        <f t="shared" si="16"/>
        <v>7.6781566666666662E-2</v>
      </c>
      <c r="AI57" s="4">
        <f t="shared" si="16"/>
        <v>7.9025849999999981E-2</v>
      </c>
      <c r="AJ57" s="4">
        <f t="shared" si="16"/>
        <v>7.1965183333333321E-2</v>
      </c>
      <c r="AK57" s="4">
        <f t="shared" si="16"/>
        <v>7.8042400000000012E-2</v>
      </c>
      <c r="AL57" s="4">
        <f t="shared" si="16"/>
        <v>7.4234683333333329E-2</v>
      </c>
      <c r="AM57" s="4">
        <f t="shared" si="16"/>
        <v>7.779023333333332E-2</v>
      </c>
      <c r="AN57" s="4">
        <f t="shared" si="16"/>
        <v>7.7689366666666648E-2</v>
      </c>
      <c r="AO57" s="4">
        <f t="shared" si="16"/>
        <v>7.8319783333333323E-2</v>
      </c>
      <c r="AP57" s="4">
        <f t="shared" si="16"/>
        <v>8.1648383333333324E-2</v>
      </c>
      <c r="AQ57" s="4">
        <f t="shared" si="16"/>
        <v>7.6378099999999977E-2</v>
      </c>
      <c r="AS57" s="4">
        <v>5</v>
      </c>
      <c r="AT57" s="4">
        <f t="shared" si="22"/>
        <v>9.1936783333333313E-2</v>
      </c>
      <c r="AU57" s="4">
        <f t="shared" si="17"/>
        <v>7.8370216666666659E-2</v>
      </c>
      <c r="AV57" s="4">
        <f t="shared" si="17"/>
        <v>7.6781566666666662E-2</v>
      </c>
      <c r="AW57" s="4">
        <f t="shared" si="17"/>
        <v>7.9025849999999981E-2</v>
      </c>
      <c r="AX57" s="4">
        <f t="shared" si="17"/>
        <v>7.1965183333333321E-2</v>
      </c>
      <c r="AY57" s="4">
        <f t="shared" si="17"/>
        <v>7.8042400000000012E-2</v>
      </c>
      <c r="AZ57" s="4">
        <f t="shared" si="17"/>
        <v>7.4234683333333329E-2</v>
      </c>
      <c r="BA57" s="4">
        <f t="shared" si="17"/>
        <v>7.779023333333332E-2</v>
      </c>
      <c r="BB57" s="4">
        <f t="shared" si="17"/>
        <v>7.7689366666666648E-2</v>
      </c>
      <c r="BC57" s="4">
        <f t="shared" si="17"/>
        <v>7.8319783333333323E-2</v>
      </c>
      <c r="BD57" s="4">
        <f t="shared" si="17"/>
        <v>8.1648383333333324E-2</v>
      </c>
      <c r="BE57" s="4">
        <f t="shared" si="17"/>
        <v>7.6378099999999977E-2</v>
      </c>
      <c r="BG57" s="4">
        <v>5</v>
      </c>
      <c r="BH57" s="4">
        <f t="shared" si="23"/>
        <v>9.1936783333333313E-2</v>
      </c>
      <c r="BI57" s="4">
        <f t="shared" si="18"/>
        <v>7.8370216666666659E-2</v>
      </c>
      <c r="BJ57" s="4">
        <f t="shared" si="18"/>
        <v>7.6781566666666662E-2</v>
      </c>
      <c r="BK57" s="4">
        <f t="shared" si="18"/>
        <v>7.9025849999999981E-2</v>
      </c>
      <c r="BL57" s="4">
        <f t="shared" si="18"/>
        <v>7.1965183333333321E-2</v>
      </c>
      <c r="BM57" s="4">
        <f t="shared" si="18"/>
        <v>7.8042400000000012E-2</v>
      </c>
      <c r="BN57" s="4">
        <f t="shared" si="18"/>
        <v>7.4234683333333329E-2</v>
      </c>
      <c r="BO57" s="4">
        <f t="shared" si="18"/>
        <v>7.779023333333332E-2</v>
      </c>
      <c r="BP57" s="4">
        <f t="shared" si="18"/>
        <v>7.7689366666666648E-2</v>
      </c>
      <c r="BQ57" s="4">
        <f t="shared" si="18"/>
        <v>7.8319783333333323E-2</v>
      </c>
      <c r="BR57" s="4">
        <f t="shared" si="18"/>
        <v>8.1648383333333324E-2</v>
      </c>
      <c r="BS57" s="4">
        <f t="shared" si="18"/>
        <v>7.6378099999999977E-2</v>
      </c>
    </row>
    <row r="59" spans="3:71" x14ac:dyDescent="0.25">
      <c r="C59" s="4" t="s">
        <v>148</v>
      </c>
      <c r="I59" s="4" t="s">
        <v>149</v>
      </c>
    </row>
    <row r="60" spans="3:71" x14ac:dyDescent="0.25">
      <c r="C60" s="4" t="s">
        <v>83</v>
      </c>
      <c r="D60" s="4" t="s">
        <v>150</v>
      </c>
      <c r="E60" s="4" t="s">
        <v>151</v>
      </c>
      <c r="F60" s="4" t="s">
        <v>152</v>
      </c>
      <c r="G60" s="4" t="s">
        <v>153</v>
      </c>
      <c r="I60" s="4" t="s">
        <v>83</v>
      </c>
      <c r="J60" s="4" t="s">
        <v>154</v>
      </c>
      <c r="K60" s="4" t="s">
        <v>155</v>
      </c>
      <c r="L60" s="4" t="s">
        <v>156</v>
      </c>
      <c r="M60" s="4" t="s">
        <v>157</v>
      </c>
    </row>
    <row r="61" spans="3:71" x14ac:dyDescent="0.25">
      <c r="C61" s="4">
        <v>0</v>
      </c>
      <c r="D61" s="4">
        <f>AVERAGE(BH52:BJ52)</f>
        <v>8.2362855555555545E-2</v>
      </c>
      <c r="E61" s="4">
        <f>AVERAGE(BK52:BM52)</f>
        <v>7.6344477777777767E-2</v>
      </c>
      <c r="F61" s="4">
        <f>AVERAGE(BN52:BP52)</f>
        <v>7.657142777777777E-2</v>
      </c>
      <c r="G61" s="4">
        <f>AVERAGE(BQ52:BS52)</f>
        <v>7.8782088888888865E-2</v>
      </c>
      <c r="I61" s="4">
        <v>0</v>
      </c>
      <c r="J61" s="4">
        <f>AVERAGE(D6:F6)</f>
        <v>8.2362855555555545E-2</v>
      </c>
      <c r="K61" s="4">
        <f>AVERAGE(G6:I6)</f>
        <v>7.6344477777777767E-2</v>
      </c>
      <c r="L61" s="4">
        <f>AVERAGE(J6:L6)</f>
        <v>7.657142777777777E-2</v>
      </c>
      <c r="M61" s="4">
        <f>AVERAGE(M6:O6)</f>
        <v>7.8782088888888865E-2</v>
      </c>
    </row>
    <row r="62" spans="3:71" x14ac:dyDescent="0.25">
      <c r="C62" s="4">
        <v>1</v>
      </c>
      <c r="D62" s="4">
        <f t="shared" ref="D62:D66" si="24">AVERAGE(BH53:BJ53)</f>
        <v>8.2362855555555545E-2</v>
      </c>
      <c r="E62" s="4">
        <f t="shared" ref="E62:E66" si="25">AVERAGE(BK53:BM53)</f>
        <v>7.6344477777777767E-2</v>
      </c>
      <c r="F62" s="4">
        <f t="shared" ref="F62:F66" si="26">AVERAGE(BN53:BP53)</f>
        <v>7.657142777777777E-2</v>
      </c>
      <c r="G62" s="4">
        <f t="shared" ref="G62:G66" si="27">AVERAGE(BQ53:BS53)</f>
        <v>7.8782088888888865E-2</v>
      </c>
      <c r="I62" s="4">
        <v>1</v>
      </c>
      <c r="J62" s="4">
        <f t="shared" ref="J62:J67" si="28">AVERAGE(D7:F7)</f>
        <v>0.31465957333333333</v>
      </c>
      <c r="K62" s="4">
        <f t="shared" ref="K62:K67" si="29">AVERAGE(G7:I7)</f>
        <v>0.30775440000000004</v>
      </c>
      <c r="L62" s="4">
        <f t="shared" ref="L62:L67" si="30">AVERAGE(J7:L7)</f>
        <v>8.0833044444444432E-2</v>
      </c>
      <c r="M62" s="4">
        <f t="shared" ref="M62:M67" si="31">AVERAGE(M7:O7)</f>
        <v>8.0093355555555537E-2</v>
      </c>
    </row>
    <row r="63" spans="3:71" x14ac:dyDescent="0.25">
      <c r="C63" s="4">
        <v>2</v>
      </c>
      <c r="D63" s="4">
        <f t="shared" si="24"/>
        <v>8.2362855555555545E-2</v>
      </c>
      <c r="E63" s="4">
        <f t="shared" si="25"/>
        <v>7.6344477777777767E-2</v>
      </c>
      <c r="F63" s="4">
        <f t="shared" si="26"/>
        <v>7.657142777777777E-2</v>
      </c>
      <c r="G63" s="4">
        <f t="shared" si="27"/>
        <v>7.8782088888888865E-2</v>
      </c>
      <c r="I63" s="4">
        <v>2</v>
      </c>
      <c r="J63" s="4">
        <f t="shared" si="28"/>
        <v>0.38613120000000006</v>
      </c>
      <c r="K63" s="4">
        <f t="shared" si="29"/>
        <v>0.41382895999999997</v>
      </c>
      <c r="L63" s="4">
        <f t="shared" si="30"/>
        <v>8.5615805555555535E-2</v>
      </c>
      <c r="M63" s="4">
        <f t="shared" si="31"/>
        <v>8.343876666666665E-2</v>
      </c>
    </row>
    <row r="64" spans="3:71" x14ac:dyDescent="0.25">
      <c r="C64" s="4">
        <v>3</v>
      </c>
      <c r="D64" s="4">
        <f t="shared" si="24"/>
        <v>8.2362855555555545E-2</v>
      </c>
      <c r="E64" s="4">
        <f t="shared" si="25"/>
        <v>7.6344477777777767E-2</v>
      </c>
      <c r="F64" s="4">
        <f t="shared" si="26"/>
        <v>7.657142777777777E-2</v>
      </c>
      <c r="G64" s="4">
        <f t="shared" si="27"/>
        <v>7.8782088888888865E-2</v>
      </c>
      <c r="I64" s="4">
        <v>3</v>
      </c>
      <c r="J64" s="4">
        <f t="shared" si="28"/>
        <v>0.42528106666666671</v>
      </c>
      <c r="K64" s="4">
        <f t="shared" si="29"/>
        <v>0.41706576000000001</v>
      </c>
      <c r="L64" s="4">
        <f t="shared" si="30"/>
        <v>8.883513333333333E-2</v>
      </c>
      <c r="M64" s="4">
        <f t="shared" si="31"/>
        <v>8.9524388888888876E-2</v>
      </c>
    </row>
    <row r="65" spans="1:13" x14ac:dyDescent="0.25">
      <c r="C65" s="4">
        <v>4</v>
      </c>
      <c r="D65" s="4">
        <f t="shared" si="24"/>
        <v>8.2362855555555545E-2</v>
      </c>
      <c r="E65" s="4">
        <f t="shared" si="25"/>
        <v>7.6344477777777767E-2</v>
      </c>
      <c r="F65" s="4">
        <f t="shared" si="26"/>
        <v>7.657142777777777E-2</v>
      </c>
      <c r="G65" s="4">
        <f t="shared" si="27"/>
        <v>7.8782088888888865E-2</v>
      </c>
      <c r="I65" s="4">
        <v>4</v>
      </c>
      <c r="J65" s="4">
        <f t="shared" si="28"/>
        <v>0.45253183999999996</v>
      </c>
      <c r="K65" s="4">
        <f t="shared" si="29"/>
        <v>0.40809519999999999</v>
      </c>
      <c r="L65" s="4">
        <f t="shared" si="30"/>
        <v>9.5324222222222213E-2</v>
      </c>
      <c r="M65" s="4">
        <f t="shared" si="31"/>
        <v>9.343297222222223E-2</v>
      </c>
    </row>
    <row r="66" spans="1:13" x14ac:dyDescent="0.25">
      <c r="C66" s="4">
        <v>5</v>
      </c>
      <c r="D66" s="4">
        <f t="shared" si="24"/>
        <v>8.2362855555555545E-2</v>
      </c>
      <c r="E66" s="4">
        <f t="shared" si="25"/>
        <v>7.6344477777777767E-2</v>
      </c>
      <c r="F66" s="4">
        <f t="shared" si="26"/>
        <v>7.657142777777777E-2</v>
      </c>
      <c r="G66" s="4">
        <f t="shared" si="27"/>
        <v>7.8782088888888865E-2</v>
      </c>
      <c r="I66" s="4">
        <v>5</v>
      </c>
      <c r="J66" s="4">
        <f t="shared" si="28"/>
        <v>0.42440250666666673</v>
      </c>
      <c r="K66" s="4">
        <f t="shared" si="29"/>
        <v>0.39462394666666673</v>
      </c>
      <c r="L66" s="4">
        <f t="shared" si="30"/>
        <v>0.10040958333333333</v>
      </c>
      <c r="M66" s="4">
        <f t="shared" si="31"/>
        <v>9.8341816666666651E-2</v>
      </c>
    </row>
    <row r="67" spans="1:13" x14ac:dyDescent="0.25">
      <c r="I67" s="4" t="s">
        <v>88</v>
      </c>
      <c r="J67" s="4">
        <f t="shared" si="28"/>
        <v>0.41968750000000071</v>
      </c>
      <c r="K67" s="4">
        <f t="shared" si="29"/>
        <v>0.39114583333333214</v>
      </c>
      <c r="L67" s="4">
        <f t="shared" si="30"/>
        <v>9.9687500000000817E-2</v>
      </c>
      <c r="M67" s="4">
        <f t="shared" si="31"/>
        <v>9.9687499999997112E-2</v>
      </c>
    </row>
    <row r="80" spans="1:13" x14ac:dyDescent="0.25">
      <c r="A80" s="4" t="s">
        <v>158</v>
      </c>
    </row>
    <row r="82" spans="1:15" x14ac:dyDescent="0.25">
      <c r="D82" s="4" t="s">
        <v>38</v>
      </c>
      <c r="E82" s="4" t="s">
        <v>39</v>
      </c>
      <c r="F82" s="4" t="s">
        <v>40</v>
      </c>
      <c r="G82" s="4" t="s">
        <v>41</v>
      </c>
      <c r="H82" s="4" t="s">
        <v>42</v>
      </c>
      <c r="I82" s="4" t="s">
        <v>43</v>
      </c>
      <c r="J82" s="4" t="s">
        <v>44</v>
      </c>
      <c r="K82" s="4" t="s">
        <v>45</v>
      </c>
      <c r="L82" s="4" t="s">
        <v>46</v>
      </c>
      <c r="M82" s="4" t="s">
        <v>47</v>
      </c>
      <c r="N82" s="4" t="s">
        <v>48</v>
      </c>
      <c r="O82" s="4" t="s">
        <v>49</v>
      </c>
    </row>
    <row r="83" spans="1:15" x14ac:dyDescent="0.25">
      <c r="A83" s="4" t="s">
        <v>132</v>
      </c>
      <c r="D83" s="4">
        <f>(D12-D6)/5</f>
        <v>6.817514333333366E-2</v>
      </c>
      <c r="E83" s="4">
        <f>(E12-E6)/5</f>
        <v>6.9950956666666952E-2</v>
      </c>
      <c r="F83" s="4">
        <f t="shared" ref="F83:O83" si="32">(F12-F6)/5</f>
        <v>6.4268686666666491E-2</v>
      </c>
      <c r="G83" s="4">
        <f t="shared" si="32"/>
        <v>6.3007329999999515E-2</v>
      </c>
      <c r="H83" s="4">
        <f t="shared" si="32"/>
        <v>6.3856963333333044E-2</v>
      </c>
      <c r="I83" s="4">
        <f t="shared" si="32"/>
        <v>6.2016520000000054E-2</v>
      </c>
      <c r="J83" s="4">
        <f t="shared" si="32"/>
        <v>4.4030633333328791E-3</v>
      </c>
      <c r="K83" s="4">
        <f t="shared" si="32"/>
        <v>5.5044533333342086E-3</v>
      </c>
      <c r="L83" s="4">
        <f t="shared" si="32"/>
        <v>3.9621266666667434E-3</v>
      </c>
      <c r="M83" s="4">
        <f t="shared" si="32"/>
        <v>4.5235433333329165E-3</v>
      </c>
      <c r="N83" s="4">
        <f t="shared" si="32"/>
        <v>3.3578233333329708E-3</v>
      </c>
      <c r="O83" s="4">
        <f t="shared" si="32"/>
        <v>4.6618799999990582E-3</v>
      </c>
    </row>
    <row r="84" spans="1:15" x14ac:dyDescent="0.25">
      <c r="A84" s="4" t="s">
        <v>159</v>
      </c>
      <c r="D84" s="4">
        <f>D6</f>
        <v>9.1936783333333313E-2</v>
      </c>
      <c r="E84" s="4">
        <f t="shared" ref="E84:O84" si="33">E6</f>
        <v>7.8370216666666659E-2</v>
      </c>
      <c r="F84" s="4">
        <f t="shared" si="33"/>
        <v>7.6781566666666662E-2</v>
      </c>
      <c r="G84" s="4">
        <f t="shared" si="33"/>
        <v>7.9025849999999981E-2</v>
      </c>
      <c r="H84" s="4">
        <f t="shared" si="33"/>
        <v>7.1965183333333321E-2</v>
      </c>
      <c r="I84" s="4">
        <f t="shared" si="33"/>
        <v>7.8042400000000012E-2</v>
      </c>
      <c r="J84" s="4">
        <f t="shared" si="33"/>
        <v>7.4234683333333329E-2</v>
      </c>
      <c r="K84" s="4">
        <f t="shared" si="33"/>
        <v>7.779023333333332E-2</v>
      </c>
      <c r="L84" s="4">
        <f t="shared" si="33"/>
        <v>7.7689366666666648E-2</v>
      </c>
      <c r="M84" s="4">
        <f t="shared" si="33"/>
        <v>7.8319783333333323E-2</v>
      </c>
      <c r="N84" s="4">
        <f t="shared" si="33"/>
        <v>8.1648383333333324E-2</v>
      </c>
      <c r="O84" s="4">
        <f t="shared" si="33"/>
        <v>7.6378099999999977E-2</v>
      </c>
    </row>
    <row r="85" spans="1:15" x14ac:dyDescent="0.25">
      <c r="A85" s="4" t="s">
        <v>134</v>
      </c>
      <c r="D85" s="4">
        <f>D83/D84</f>
        <v>0.74154370929155133</v>
      </c>
      <c r="E85" s="4">
        <f t="shared" ref="E85:N85" si="34">E83/E84</f>
        <v>0.89257066832149401</v>
      </c>
      <c r="F85" s="4">
        <f t="shared" si="34"/>
        <v>0.83703276003311333</v>
      </c>
      <c r="G85" s="4">
        <f t="shared" si="34"/>
        <v>0.79730025048765096</v>
      </c>
      <c r="H85" s="4">
        <f t="shared" si="34"/>
        <v>0.88733135073881408</v>
      </c>
      <c r="I85" s="4">
        <f t="shared" si="34"/>
        <v>0.79465162527036648</v>
      </c>
      <c r="J85" s="4">
        <f t="shared" si="34"/>
        <v>5.9312751609136155E-2</v>
      </c>
      <c r="K85" s="4">
        <f t="shared" si="34"/>
        <v>7.0760211114774166E-2</v>
      </c>
      <c r="L85" s="4">
        <f t="shared" si="34"/>
        <v>5.0999600545935858E-2</v>
      </c>
      <c r="M85" s="4">
        <f t="shared" si="34"/>
        <v>5.7757352495224179E-2</v>
      </c>
      <c r="N85" s="4">
        <f t="shared" si="34"/>
        <v>4.1125411137958492E-2</v>
      </c>
      <c r="O85" s="4">
        <f>O83/O84</f>
        <v>6.1036867897984626E-2</v>
      </c>
    </row>
    <row r="86" spans="1:15" x14ac:dyDescent="0.25">
      <c r="A86" s="4" t="s">
        <v>135</v>
      </c>
      <c r="D86" s="4">
        <f>1/D85</f>
        <v>1.3485381744460756</v>
      </c>
      <c r="E86" s="4">
        <f t="shared" ref="E86:O86" si="35">1/E85</f>
        <v>1.1203594689936764</v>
      </c>
      <c r="F86" s="4">
        <f t="shared" si="35"/>
        <v>1.194696370020738</v>
      </c>
      <c r="G86" s="4">
        <f t="shared" si="35"/>
        <v>1.2542326424560537</v>
      </c>
      <c r="H86" s="4">
        <f t="shared" si="35"/>
        <v>1.1269747193845627</v>
      </c>
      <c r="I86" s="4">
        <f t="shared" si="35"/>
        <v>1.2584130809016685</v>
      </c>
      <c r="J86" s="4">
        <f t="shared" si="35"/>
        <v>16.859780955533456</v>
      </c>
      <c r="K86" s="4">
        <f t="shared" si="35"/>
        <v>14.132235959245294</v>
      </c>
      <c r="L86" s="4">
        <f t="shared" si="35"/>
        <v>19.607996715568191</v>
      </c>
      <c r="M86" s="4">
        <f t="shared" si="35"/>
        <v>17.313812991734476</v>
      </c>
      <c r="N86" s="4">
        <f t="shared" si="35"/>
        <v>24.315866330075576</v>
      </c>
      <c r="O86" s="4">
        <f t="shared" si="35"/>
        <v>16.383540545877501</v>
      </c>
    </row>
    <row r="87" spans="1:15" x14ac:dyDescent="0.25">
      <c r="A87" s="4" t="s">
        <v>160</v>
      </c>
      <c r="D87" s="16">
        <v>0</v>
      </c>
      <c r="E87" s="16">
        <v>0</v>
      </c>
      <c r="F87" s="16">
        <v>0</v>
      </c>
      <c r="G87" s="16">
        <v>0.5</v>
      </c>
      <c r="H87" s="16">
        <v>0.5</v>
      </c>
      <c r="I87" s="16">
        <v>0.5</v>
      </c>
      <c r="J87" s="16">
        <v>2</v>
      </c>
      <c r="K87" s="16">
        <v>2</v>
      </c>
      <c r="L87" s="16">
        <v>2</v>
      </c>
      <c r="M87" s="16">
        <v>10</v>
      </c>
      <c r="N87" s="16">
        <v>10</v>
      </c>
      <c r="O87" s="16">
        <v>10</v>
      </c>
    </row>
    <row r="88" spans="1:15" x14ac:dyDescent="0.25">
      <c r="A88" s="4" t="s">
        <v>137</v>
      </c>
      <c r="G88" s="4">
        <f>1/G87</f>
        <v>2</v>
      </c>
      <c r="H88" s="4">
        <f t="shared" ref="H88:O88" si="36">1/H87</f>
        <v>2</v>
      </c>
      <c r="I88" s="4">
        <f t="shared" si="36"/>
        <v>2</v>
      </c>
      <c r="J88" s="4">
        <f t="shared" si="36"/>
        <v>0.5</v>
      </c>
      <c r="K88" s="4">
        <f t="shared" si="36"/>
        <v>0.5</v>
      </c>
      <c r="L88" s="4">
        <f t="shared" si="36"/>
        <v>0.5</v>
      </c>
      <c r="M88" s="4">
        <f t="shared" si="36"/>
        <v>0.1</v>
      </c>
      <c r="N88" s="4">
        <f t="shared" si="36"/>
        <v>0.1</v>
      </c>
      <c r="O88" s="4">
        <f t="shared" si="36"/>
        <v>0.1</v>
      </c>
    </row>
    <row r="90" spans="1:15" x14ac:dyDescent="0.25">
      <c r="A90" s="4" t="s">
        <v>138</v>
      </c>
      <c r="C90" s="7">
        <f>-0.4334/0.8492</f>
        <v>-0.51036269430051817</v>
      </c>
    </row>
    <row r="91" spans="1:15" x14ac:dyDescent="0.25">
      <c r="A91" s="4" t="s">
        <v>139</v>
      </c>
      <c r="C91" s="7">
        <v>0.43340000000000001</v>
      </c>
    </row>
    <row r="92" spans="1:15" x14ac:dyDescent="0.25">
      <c r="A92" s="4" t="s">
        <v>140</v>
      </c>
      <c r="C92" s="4">
        <f>-1/C90</f>
        <v>1.9593908629441623</v>
      </c>
    </row>
    <row r="93" spans="1:15" x14ac:dyDescent="0.25">
      <c r="A93" s="4" t="s">
        <v>141</v>
      </c>
      <c r="C93" s="4">
        <f>1/C91</f>
        <v>2.3073373327180433</v>
      </c>
    </row>
    <row r="105" spans="1:15" x14ac:dyDescent="0.25">
      <c r="D105" s="4" t="s">
        <v>38</v>
      </c>
      <c r="E105" s="4" t="s">
        <v>39</v>
      </c>
      <c r="F105" s="4" t="s">
        <v>40</v>
      </c>
      <c r="G105" s="4" t="s">
        <v>41</v>
      </c>
      <c r="H105" s="4" t="s">
        <v>42</v>
      </c>
      <c r="I105" s="4" t="s">
        <v>43</v>
      </c>
      <c r="J105" s="4" t="s">
        <v>44</v>
      </c>
      <c r="K105" s="4" t="s">
        <v>45</v>
      </c>
      <c r="L105" s="4" t="s">
        <v>46</v>
      </c>
      <c r="M105" s="4" t="s">
        <v>47</v>
      </c>
      <c r="N105" s="4" t="s">
        <v>48</v>
      </c>
      <c r="O105" s="4" t="s">
        <v>49</v>
      </c>
    </row>
    <row r="106" spans="1:15" x14ac:dyDescent="0.25">
      <c r="A106" s="4" t="s">
        <v>161</v>
      </c>
      <c r="D106" s="4">
        <f>$C$93*D87/($C$92+D87)</f>
        <v>0</v>
      </c>
      <c r="E106" s="4">
        <f t="shared" ref="E106:M106" si="37">$C$93*E87/($C$92+E87)</f>
        <v>0</v>
      </c>
      <c r="F106" s="4">
        <f t="shared" si="37"/>
        <v>0</v>
      </c>
      <c r="G106" s="4">
        <f t="shared" si="37"/>
        <v>0.46908715639365794</v>
      </c>
      <c r="H106" s="4">
        <f t="shared" si="37"/>
        <v>0.46908715639365794</v>
      </c>
      <c r="I106" s="4">
        <f t="shared" si="37"/>
        <v>0.46908715639365794</v>
      </c>
      <c r="J106" s="4">
        <f t="shared" si="37"/>
        <v>1.1655011655011656</v>
      </c>
      <c r="K106" s="4">
        <f t="shared" si="37"/>
        <v>1.1655011655011656</v>
      </c>
      <c r="L106" s="4">
        <f t="shared" si="37"/>
        <v>1.1655011655011656</v>
      </c>
      <c r="M106" s="4">
        <f t="shared" si="37"/>
        <v>1.9293100787158515</v>
      </c>
      <c r="N106" s="4">
        <f>$C$93*N87/($C$92+N87)</f>
        <v>1.9293100787158515</v>
      </c>
      <c r="O106" s="4">
        <f>$C$93*O87/($C$92+O87)</f>
        <v>1.9293100787158515</v>
      </c>
    </row>
    <row r="107" spans="1:15" x14ac:dyDescent="0.25">
      <c r="A107" s="4" t="s">
        <v>162</v>
      </c>
      <c r="D107" s="4">
        <f>D6</f>
        <v>9.1936783333333313E-2</v>
      </c>
      <c r="E107" s="4">
        <f t="shared" ref="E107:O107" si="38">E6</f>
        <v>7.8370216666666659E-2</v>
      </c>
      <c r="F107" s="4">
        <f t="shared" si="38"/>
        <v>7.6781566666666662E-2</v>
      </c>
      <c r="G107" s="4">
        <f t="shared" si="38"/>
        <v>7.9025849999999981E-2</v>
      </c>
      <c r="H107" s="4">
        <f t="shared" si="38"/>
        <v>7.1965183333333321E-2</v>
      </c>
      <c r="I107" s="4">
        <f t="shared" si="38"/>
        <v>7.8042400000000012E-2</v>
      </c>
      <c r="J107" s="4">
        <f t="shared" si="38"/>
        <v>7.4234683333333329E-2</v>
      </c>
      <c r="K107" s="4">
        <f t="shared" si="38"/>
        <v>7.779023333333332E-2</v>
      </c>
      <c r="L107" s="4">
        <f t="shared" si="38"/>
        <v>7.7689366666666648E-2</v>
      </c>
      <c r="M107" s="4">
        <f t="shared" si="38"/>
        <v>7.8319783333333323E-2</v>
      </c>
      <c r="N107" s="4">
        <f t="shared" si="38"/>
        <v>8.1648383333333324E-2</v>
      </c>
      <c r="O107" s="4">
        <f t="shared" si="38"/>
        <v>7.6378099999999977E-2</v>
      </c>
    </row>
    <row r="108" spans="1:15" x14ac:dyDescent="0.25">
      <c r="A108" s="4" t="s">
        <v>163</v>
      </c>
      <c r="D108" s="4">
        <f>D106*D107</f>
        <v>0</v>
      </c>
      <c r="E108" s="4">
        <f t="shared" ref="E108:N108" si="39">E106*E107</f>
        <v>0</v>
      </c>
      <c r="F108" s="4">
        <f t="shared" si="39"/>
        <v>0</v>
      </c>
      <c r="G108" s="4">
        <f t="shared" si="39"/>
        <v>3.7070011258091742E-2</v>
      </c>
      <c r="H108" s="4">
        <f t="shared" si="39"/>
        <v>3.3757943209181594E-2</v>
      </c>
      <c r="I108" s="4">
        <f t="shared" si="39"/>
        <v>3.6608687494136413E-2</v>
      </c>
      <c r="J108" s="4">
        <f t="shared" si="39"/>
        <v>8.652060994560995E-2</v>
      </c>
      <c r="K108" s="4">
        <f t="shared" si="39"/>
        <v>9.0664607614607609E-2</v>
      </c>
      <c r="L108" s="4">
        <f t="shared" si="39"/>
        <v>9.0547047397047387E-2</v>
      </c>
      <c r="M108" s="4">
        <f t="shared" si="39"/>
        <v>0.15110314734784175</v>
      </c>
      <c r="N108" s="4">
        <f t="shared" si="39"/>
        <v>0.15752504887585533</v>
      </c>
      <c r="O108" s="4">
        <f>O106*O107</f>
        <v>0.14735703812316714</v>
      </c>
    </row>
    <row r="109" spans="1:15" x14ac:dyDescent="0.25">
      <c r="A109" s="4" t="s">
        <v>164</v>
      </c>
      <c r="D109" s="4">
        <f>D108*5</f>
        <v>0</v>
      </c>
      <c r="E109" s="4">
        <f t="shared" ref="E109:N109" si="40">E108*5</f>
        <v>0</v>
      </c>
      <c r="F109" s="4">
        <f t="shared" si="40"/>
        <v>0</v>
      </c>
      <c r="G109" s="4">
        <f t="shared" si="40"/>
        <v>0.1853500562904587</v>
      </c>
      <c r="H109" s="4">
        <f t="shared" si="40"/>
        <v>0.16878971604590798</v>
      </c>
      <c r="I109" s="4">
        <f t="shared" si="40"/>
        <v>0.18304343747068208</v>
      </c>
      <c r="J109" s="4">
        <f t="shared" si="40"/>
        <v>0.43260304972804975</v>
      </c>
      <c r="K109" s="4">
        <f t="shared" si="40"/>
        <v>0.45332303807303803</v>
      </c>
      <c r="L109" s="4">
        <f t="shared" si="40"/>
        <v>0.45273523698523693</v>
      </c>
      <c r="M109" s="4">
        <f t="shared" si="40"/>
        <v>0.75551573673920869</v>
      </c>
      <c r="N109" s="4">
        <f t="shared" si="40"/>
        <v>0.78762524437927661</v>
      </c>
      <c r="O109" s="4">
        <f>O108*5</f>
        <v>0.73678519061583569</v>
      </c>
    </row>
    <row r="110" spans="1:15" x14ac:dyDescent="0.25">
      <c r="A110" s="4" t="s">
        <v>165</v>
      </c>
      <c r="D110" s="4">
        <f>D107+D109</f>
        <v>9.1936783333333313E-2</v>
      </c>
      <c r="E110" s="4">
        <f t="shared" ref="E110:O110" si="41">E107+E109</f>
        <v>7.8370216666666659E-2</v>
      </c>
      <c r="F110" s="4">
        <f t="shared" si="41"/>
        <v>7.6781566666666662E-2</v>
      </c>
      <c r="G110" s="4">
        <f t="shared" si="41"/>
        <v>0.26437590629045871</v>
      </c>
      <c r="H110" s="4">
        <f t="shared" si="41"/>
        <v>0.2407548993792413</v>
      </c>
      <c r="I110" s="4">
        <f t="shared" si="41"/>
        <v>0.26108583747068209</v>
      </c>
      <c r="J110" s="4">
        <f t="shared" si="41"/>
        <v>0.50683773306138313</v>
      </c>
      <c r="K110" s="4">
        <f t="shared" si="41"/>
        <v>0.53111327140637132</v>
      </c>
      <c r="L110" s="4">
        <f t="shared" si="41"/>
        <v>0.53042460365190358</v>
      </c>
      <c r="M110" s="4">
        <f t="shared" si="41"/>
        <v>0.83383552007254202</v>
      </c>
      <c r="N110" s="4">
        <f t="shared" si="41"/>
        <v>0.86927362771260996</v>
      </c>
      <c r="O110" s="4">
        <f t="shared" si="41"/>
        <v>0.8131632906158357</v>
      </c>
    </row>
    <row r="111" spans="1:15" x14ac:dyDescent="0.25">
      <c r="A111" s="4" t="s">
        <v>166</v>
      </c>
      <c r="D111" s="4">
        <f>D12</f>
        <v>0.4328125000000016</v>
      </c>
      <c r="E111" s="4">
        <f t="shared" ref="E111:O111" si="42">E12</f>
        <v>0.42812500000000142</v>
      </c>
      <c r="F111" s="4">
        <f t="shared" si="42"/>
        <v>0.39812499999999917</v>
      </c>
      <c r="G111" s="4">
        <f t="shared" si="42"/>
        <v>0.39406249999999754</v>
      </c>
      <c r="H111" s="4">
        <f t="shared" si="42"/>
        <v>0.39124999999999854</v>
      </c>
      <c r="I111" s="4">
        <f t="shared" si="42"/>
        <v>0.38812500000000028</v>
      </c>
      <c r="J111" s="4">
        <f t="shared" si="42"/>
        <v>9.6249999999997726E-2</v>
      </c>
      <c r="K111" s="4">
        <f t="shared" si="42"/>
        <v>0.10531250000000436</v>
      </c>
      <c r="L111" s="4">
        <f t="shared" si="42"/>
        <v>9.7500000000000364E-2</v>
      </c>
      <c r="M111" s="4">
        <f>M12</f>
        <v>0.1009374999999979</v>
      </c>
      <c r="N111" s="4">
        <f t="shared" si="42"/>
        <v>9.8437499999998179E-2</v>
      </c>
      <c r="O111" s="4">
        <f t="shared" si="42"/>
        <v>9.9687499999995266E-2</v>
      </c>
    </row>
    <row r="113" spans="1:14" x14ac:dyDescent="0.25">
      <c r="A113" s="4" t="s">
        <v>168</v>
      </c>
    </row>
    <row r="115" spans="1:14" x14ac:dyDescent="0.25">
      <c r="A115" s="4" t="s">
        <v>169</v>
      </c>
      <c r="F115" s="4" t="s">
        <v>170</v>
      </c>
      <c r="G115" s="4" t="s">
        <v>171</v>
      </c>
      <c r="H115" s="4" t="s">
        <v>172</v>
      </c>
      <c r="M115" s="4" t="s">
        <v>170</v>
      </c>
      <c r="N115" s="4" t="s">
        <v>171</v>
      </c>
    </row>
    <row r="116" spans="1:14" x14ac:dyDescent="0.25">
      <c r="A116" s="4" t="s">
        <v>173</v>
      </c>
      <c r="B116" s="4" t="s">
        <v>174</v>
      </c>
      <c r="E116" s="4" t="s">
        <v>175</v>
      </c>
      <c r="F116" s="4">
        <v>16.355899999999998</v>
      </c>
      <c r="J116" s="4" t="s">
        <v>176</v>
      </c>
      <c r="L116" s="4" t="s">
        <v>177</v>
      </c>
      <c r="M116" s="4">
        <v>329.74</v>
      </c>
    </row>
    <row r="117" spans="1:14" x14ac:dyDescent="0.25">
      <c r="E117" s="4" t="s">
        <v>178</v>
      </c>
      <c r="F117" s="4">
        <v>9.4537999999999993</v>
      </c>
      <c r="L117" s="4" t="s">
        <v>179</v>
      </c>
      <c r="M117" s="4">
        <v>34</v>
      </c>
    </row>
    <row r="118" spans="1:14" x14ac:dyDescent="0.25">
      <c r="E118" s="4" t="s">
        <v>180</v>
      </c>
      <c r="F118" s="4">
        <v>0.43769999999999998</v>
      </c>
      <c r="L118" s="4" t="s">
        <v>180</v>
      </c>
      <c r="M118" s="4">
        <v>1.8800000000000001E-2</v>
      </c>
    </row>
    <row r="121" spans="1:14" x14ac:dyDescent="0.25">
      <c r="M121" s="4" t="s">
        <v>170</v>
      </c>
      <c r="N121" s="4" t="s">
        <v>171</v>
      </c>
    </row>
    <row r="122" spans="1:14" x14ac:dyDescent="0.25">
      <c r="J122" s="4" t="s">
        <v>181</v>
      </c>
      <c r="L122" s="4" t="s">
        <v>177</v>
      </c>
      <c r="M122" s="4">
        <v>1723.1</v>
      </c>
    </row>
    <row r="123" spans="1:14" x14ac:dyDescent="0.25">
      <c r="L123" s="4" t="s">
        <v>179</v>
      </c>
      <c r="M123" s="4">
        <v>154.43</v>
      </c>
      <c r="N123" s="4" t="s">
        <v>182</v>
      </c>
    </row>
    <row r="124" spans="1:14" x14ac:dyDescent="0.25">
      <c r="L124" s="4" t="s">
        <v>180</v>
      </c>
      <c r="M124" s="4">
        <v>3.5000000000000001E-3</v>
      </c>
    </row>
    <row r="125" spans="1:14" x14ac:dyDescent="0.25">
      <c r="L125" s="4" t="s">
        <v>87</v>
      </c>
      <c r="M125" s="4">
        <v>1.2999999999999999E-2</v>
      </c>
    </row>
    <row r="128" spans="1:14" x14ac:dyDescent="0.25">
      <c r="J128" s="4">
        <v>0</v>
      </c>
      <c r="K128" s="4">
        <f>($M$123*J128)/(J128+$M$122+J128^2/$M$124)+$M$125</f>
        <v>1.2999999999999999E-2</v>
      </c>
    </row>
    <row r="129" spans="10:11" x14ac:dyDescent="0.25">
      <c r="J129" s="4">
        <v>0.5</v>
      </c>
      <c r="K129" s="4">
        <f>($M$123*J129)/(J129+$M$122+J129^2/$M$124)+$M$125</f>
        <v>5.6016028395887055E-2</v>
      </c>
    </row>
    <row r="130" spans="10:11" x14ac:dyDescent="0.25">
      <c r="J130" s="4">
        <v>2</v>
      </c>
      <c r="K130" s="4">
        <f>($M$123*J130)/(J130+$M$122+J130^2/$M$124)+$M$125</f>
        <v>0.12069338055460085</v>
      </c>
    </row>
    <row r="131" spans="10:11" x14ac:dyDescent="0.25">
      <c r="J131" s="4">
        <v>10</v>
      </c>
      <c r="K131" s="4">
        <f>($M$123*J131)/(J131+$M$122+J131^2/$M$124)+$M$125</f>
        <v>6.3959380422633688E-2</v>
      </c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4"/>
  <sheetViews>
    <sheetView workbookViewId="0">
      <selection activeCell="F57" sqref="F57"/>
    </sheetView>
  </sheetViews>
  <sheetFormatPr defaultColWidth="8.85546875" defaultRowHeight="12.75" x14ac:dyDescent="0.2"/>
  <cols>
    <col min="1" max="16384" width="8.85546875" style="38"/>
  </cols>
  <sheetData>
    <row r="1" spans="1:27" x14ac:dyDescent="0.2">
      <c r="A1" s="38" t="s">
        <v>230</v>
      </c>
    </row>
    <row r="3" spans="1:27" x14ac:dyDescent="0.2">
      <c r="B3" s="38" t="s">
        <v>14</v>
      </c>
    </row>
    <row r="4" spans="1:27" x14ac:dyDescent="0.2">
      <c r="A4" s="39">
        <v>41745</v>
      </c>
      <c r="B4" s="38" t="s">
        <v>55</v>
      </c>
      <c r="C4" s="38">
        <v>1</v>
      </c>
      <c r="D4" s="38">
        <v>2</v>
      </c>
      <c r="E4" s="38">
        <v>3</v>
      </c>
      <c r="F4" s="38">
        <v>4</v>
      </c>
      <c r="G4" s="38">
        <v>5</v>
      </c>
      <c r="H4" s="38">
        <v>6</v>
      </c>
      <c r="I4" s="38">
        <v>7</v>
      </c>
      <c r="J4" s="38">
        <v>8</v>
      </c>
      <c r="K4" s="38">
        <v>9</v>
      </c>
      <c r="L4" s="38">
        <v>10</v>
      </c>
      <c r="M4" s="38">
        <v>11</v>
      </c>
      <c r="N4" s="38">
        <v>12</v>
      </c>
      <c r="P4" s="38">
        <v>1</v>
      </c>
      <c r="Q4" s="38">
        <v>2</v>
      </c>
      <c r="R4" s="38">
        <v>3</v>
      </c>
      <c r="S4" s="38">
        <v>4</v>
      </c>
      <c r="T4" s="38">
        <v>5</v>
      </c>
      <c r="U4" s="38">
        <v>6</v>
      </c>
      <c r="V4" s="38">
        <v>7</v>
      </c>
      <c r="W4" s="38">
        <v>8</v>
      </c>
      <c r="X4" s="38">
        <v>9</v>
      </c>
      <c r="Y4" s="38">
        <v>10</v>
      </c>
      <c r="Z4" s="38">
        <v>11</v>
      </c>
      <c r="AA4" s="38">
        <v>12</v>
      </c>
    </row>
    <row r="5" spans="1:27" x14ac:dyDescent="0.2">
      <c r="A5" s="40">
        <v>0.4375</v>
      </c>
      <c r="B5" s="38">
        <v>23.3</v>
      </c>
      <c r="C5" s="38">
        <v>0.14829999999999999</v>
      </c>
      <c r="D5" s="38">
        <v>0.1328</v>
      </c>
      <c r="E5" s="38">
        <v>0.12759999999999999</v>
      </c>
      <c r="F5" s="38">
        <v>0.1305</v>
      </c>
      <c r="G5" s="38">
        <v>0.1242</v>
      </c>
      <c r="H5" s="38">
        <v>0.12920000000000001</v>
      </c>
      <c r="I5" s="38">
        <v>0.12709999999999999</v>
      </c>
      <c r="J5" s="38">
        <v>0.13300000000000001</v>
      </c>
      <c r="K5" s="38">
        <v>0.1308</v>
      </c>
      <c r="L5" s="38">
        <v>0.1318</v>
      </c>
      <c r="M5" s="38">
        <v>0.13700000000000001</v>
      </c>
      <c r="N5" s="38">
        <v>0.1283</v>
      </c>
      <c r="P5" s="38">
        <v>0.19839999999999999</v>
      </c>
      <c r="Q5" s="38">
        <v>0.1726</v>
      </c>
      <c r="R5" s="38">
        <v>0.16789999999999999</v>
      </c>
      <c r="S5" s="38">
        <v>0.17199999999999999</v>
      </c>
      <c r="T5" s="38">
        <v>0.15609999999999999</v>
      </c>
      <c r="U5" s="38">
        <v>0.16819999999999999</v>
      </c>
      <c r="V5" s="38">
        <v>0.16880000000000001</v>
      </c>
      <c r="W5" s="38">
        <v>0.17829999999999999</v>
      </c>
      <c r="X5" s="38">
        <v>0.17269999999999999</v>
      </c>
      <c r="Y5" s="38">
        <v>0.1754</v>
      </c>
      <c r="Z5" s="38">
        <v>0.18149999999999999</v>
      </c>
      <c r="AA5" s="38">
        <v>0.17169999999999999</v>
      </c>
    </row>
    <row r="6" spans="1:27" x14ac:dyDescent="0.2">
      <c r="C6" s="38">
        <v>0.14849999999999999</v>
      </c>
      <c r="D6" s="38">
        <v>0.12959999999999999</v>
      </c>
      <c r="E6" s="38">
        <v>0.1295</v>
      </c>
      <c r="F6" s="38">
        <v>0.13389999999999999</v>
      </c>
      <c r="G6" s="38">
        <v>0.12230000000000001</v>
      </c>
      <c r="H6" s="38">
        <v>0.13150000000000001</v>
      </c>
      <c r="I6" s="38">
        <v>0.1239</v>
      </c>
      <c r="J6" s="38">
        <v>0.128</v>
      </c>
      <c r="K6" s="38">
        <v>0.12959999999999999</v>
      </c>
      <c r="L6" s="38">
        <v>0.1313</v>
      </c>
      <c r="M6" s="38">
        <v>0.1356</v>
      </c>
      <c r="N6" s="38">
        <v>0.128</v>
      </c>
      <c r="P6" s="38">
        <v>0.20219999999999999</v>
      </c>
      <c r="Q6" s="38">
        <v>0.17430000000000001</v>
      </c>
      <c r="R6" s="38">
        <v>0.16869999999999999</v>
      </c>
      <c r="S6" s="38">
        <v>0.17660000000000001</v>
      </c>
      <c r="T6" s="38">
        <v>0.1565</v>
      </c>
      <c r="U6" s="38">
        <v>0.1731</v>
      </c>
      <c r="V6" s="38">
        <v>0.1663</v>
      </c>
      <c r="W6" s="38">
        <v>0.17230000000000001</v>
      </c>
      <c r="X6" s="38">
        <v>0.17380000000000001</v>
      </c>
      <c r="Y6" s="38">
        <v>0.1762</v>
      </c>
      <c r="Z6" s="38">
        <v>0.18229999999999999</v>
      </c>
      <c r="AA6" s="38">
        <v>0.1734</v>
      </c>
    </row>
    <row r="7" spans="1:27" x14ac:dyDescent="0.2">
      <c r="C7" s="38">
        <v>0.14710000000000001</v>
      </c>
      <c r="D7" s="38">
        <v>0.12770000000000001</v>
      </c>
      <c r="E7" s="38">
        <v>0.12670000000000001</v>
      </c>
      <c r="F7" s="38">
        <v>0.1283</v>
      </c>
      <c r="G7" s="38">
        <v>0.1182</v>
      </c>
      <c r="H7" s="38">
        <v>0.12809999999999999</v>
      </c>
      <c r="I7" s="38">
        <v>0.1227</v>
      </c>
      <c r="J7" s="38">
        <v>0.1268</v>
      </c>
      <c r="K7" s="38">
        <v>0.127</v>
      </c>
      <c r="L7" s="38">
        <v>0.1268</v>
      </c>
      <c r="M7" s="38">
        <v>0.1305</v>
      </c>
      <c r="N7" s="38">
        <v>0.12590000000000001</v>
      </c>
      <c r="P7" s="38">
        <v>0.2019</v>
      </c>
      <c r="Q7" s="38">
        <v>0.1716</v>
      </c>
      <c r="R7" s="38">
        <v>0.1681</v>
      </c>
      <c r="S7" s="38">
        <v>0.1701</v>
      </c>
      <c r="T7" s="38">
        <v>0.1542</v>
      </c>
      <c r="U7" s="38">
        <v>0.16800000000000001</v>
      </c>
      <c r="V7" s="38">
        <v>0.16520000000000001</v>
      </c>
      <c r="W7" s="38">
        <v>0.17130000000000001</v>
      </c>
      <c r="X7" s="38">
        <v>0.1711</v>
      </c>
      <c r="Y7" s="38">
        <v>0.17130000000000001</v>
      </c>
      <c r="Z7" s="38">
        <v>0.17680000000000001</v>
      </c>
      <c r="AA7" s="38">
        <v>0.1709</v>
      </c>
    </row>
    <row r="8" spans="1:27" x14ac:dyDescent="0.2">
      <c r="B8" s="38" t="s">
        <v>24</v>
      </c>
      <c r="C8" s="38">
        <f>AVERAGE(C5:C7)</f>
        <v>0.14796666666666666</v>
      </c>
      <c r="D8" s="38">
        <f t="shared" ref="D8:N8" si="0">AVERAGE(D5:D7)</f>
        <v>0.13003333333333333</v>
      </c>
      <c r="E8" s="38">
        <f t="shared" si="0"/>
        <v>0.12793333333333334</v>
      </c>
      <c r="F8" s="38">
        <f t="shared" si="0"/>
        <v>0.13089999999999999</v>
      </c>
      <c r="G8" s="38">
        <f t="shared" si="0"/>
        <v>0.12156666666666667</v>
      </c>
      <c r="H8" s="38">
        <f t="shared" si="0"/>
        <v>0.12960000000000002</v>
      </c>
      <c r="I8" s="38">
        <f t="shared" si="0"/>
        <v>0.12456666666666667</v>
      </c>
      <c r="J8" s="38">
        <f t="shared" si="0"/>
        <v>0.12926666666666667</v>
      </c>
      <c r="K8" s="38">
        <f t="shared" si="0"/>
        <v>0.12913333333333332</v>
      </c>
      <c r="L8" s="38">
        <f t="shared" si="0"/>
        <v>0.12996666666666667</v>
      </c>
      <c r="M8" s="38">
        <f t="shared" si="0"/>
        <v>0.13436666666666666</v>
      </c>
      <c r="N8" s="38">
        <f t="shared" si="0"/>
        <v>0.12739999999999999</v>
      </c>
    </row>
    <row r="10" spans="1:27" x14ac:dyDescent="0.2">
      <c r="A10" s="39">
        <v>41746</v>
      </c>
      <c r="B10" s="38" t="s">
        <v>55</v>
      </c>
      <c r="C10" s="38">
        <v>1</v>
      </c>
      <c r="D10" s="38">
        <v>2</v>
      </c>
      <c r="E10" s="38">
        <v>3</v>
      </c>
      <c r="F10" s="38">
        <v>4</v>
      </c>
      <c r="G10" s="38">
        <v>5</v>
      </c>
      <c r="H10" s="38">
        <v>6</v>
      </c>
      <c r="I10" s="38">
        <v>7</v>
      </c>
      <c r="J10" s="38">
        <v>8</v>
      </c>
      <c r="K10" s="38">
        <v>9</v>
      </c>
      <c r="L10" s="38">
        <v>10</v>
      </c>
      <c r="M10" s="38">
        <v>11</v>
      </c>
      <c r="N10" s="38">
        <v>12</v>
      </c>
      <c r="P10" s="38">
        <v>1</v>
      </c>
      <c r="Q10" s="38">
        <v>2</v>
      </c>
      <c r="R10" s="38">
        <v>3</v>
      </c>
      <c r="S10" s="38">
        <v>4</v>
      </c>
      <c r="T10" s="38">
        <v>5</v>
      </c>
      <c r="U10" s="38">
        <v>6</v>
      </c>
      <c r="V10" s="38">
        <v>7</v>
      </c>
      <c r="W10" s="38">
        <v>8</v>
      </c>
      <c r="X10" s="38">
        <v>9</v>
      </c>
      <c r="Y10" s="38">
        <v>10</v>
      </c>
      <c r="Z10" s="38">
        <v>11</v>
      </c>
      <c r="AA10" s="38">
        <v>12</v>
      </c>
    </row>
    <row r="11" spans="1:27" x14ac:dyDescent="0.2">
      <c r="A11" s="40">
        <v>0.4375</v>
      </c>
      <c r="B11" s="38">
        <v>23.4</v>
      </c>
    </row>
    <row r="14" spans="1:27" x14ac:dyDescent="0.2">
      <c r="C14" s="38">
        <v>0.23449999999999999</v>
      </c>
      <c r="D14" s="38">
        <v>0.23799999999999999</v>
      </c>
      <c r="E14" s="38">
        <v>0.2369</v>
      </c>
      <c r="F14" s="38">
        <v>0.2283</v>
      </c>
      <c r="G14" s="38">
        <v>0.23250000000000001</v>
      </c>
      <c r="H14" s="38">
        <v>0.2361</v>
      </c>
      <c r="I14" s="38">
        <v>0.13100000000000001</v>
      </c>
      <c r="J14" s="38">
        <v>0.13700000000000001</v>
      </c>
      <c r="K14" s="38">
        <v>0.13389999999999999</v>
      </c>
      <c r="L14" s="38">
        <v>0.13350000000000001</v>
      </c>
      <c r="M14" s="38">
        <v>0.1368</v>
      </c>
      <c r="N14" s="38">
        <v>0.1293</v>
      </c>
      <c r="P14" s="38">
        <v>0.2878</v>
      </c>
      <c r="Q14" s="38">
        <v>0.2908</v>
      </c>
      <c r="R14" s="38">
        <v>0.29220000000000002</v>
      </c>
      <c r="S14" s="38">
        <v>0.28110000000000002</v>
      </c>
      <c r="T14" s="38">
        <v>0.28949999999999998</v>
      </c>
      <c r="U14" s="38">
        <v>0.29239999999999999</v>
      </c>
      <c r="V14" s="38">
        <v>0.17849999999999999</v>
      </c>
      <c r="W14" s="38">
        <v>0.1875</v>
      </c>
      <c r="X14" s="38">
        <v>0.1822</v>
      </c>
      <c r="Y14" s="38">
        <v>0.18260000000000001</v>
      </c>
      <c r="Z14" s="38">
        <v>0.18509999999999999</v>
      </c>
      <c r="AA14" s="38">
        <v>0.17860000000000001</v>
      </c>
    </row>
    <row r="15" spans="1:27" x14ac:dyDescent="0.2">
      <c r="C15" s="38">
        <v>0.24010000000000001</v>
      </c>
      <c r="D15" s="38">
        <v>0.23719999999999999</v>
      </c>
      <c r="E15" s="38">
        <v>0.24160000000000001</v>
      </c>
      <c r="F15" s="38">
        <v>0.22789999999999999</v>
      </c>
      <c r="G15" s="38">
        <v>0.23680000000000001</v>
      </c>
      <c r="H15" s="38">
        <v>0.23930000000000001</v>
      </c>
      <c r="I15" s="38">
        <v>0.13100000000000001</v>
      </c>
      <c r="J15" s="38">
        <v>0.13200000000000001</v>
      </c>
      <c r="K15" s="38">
        <v>0.1356</v>
      </c>
      <c r="L15" s="38">
        <v>0.13150000000000001</v>
      </c>
      <c r="M15" s="38">
        <v>0.13189999999999999</v>
      </c>
      <c r="N15" s="38">
        <v>0.1321</v>
      </c>
      <c r="P15" s="38">
        <v>0.29330000000000001</v>
      </c>
      <c r="Q15" s="38">
        <v>0.29170000000000001</v>
      </c>
      <c r="R15" s="38">
        <v>0.29849999999999999</v>
      </c>
      <c r="S15" s="38">
        <v>0.28239999999999998</v>
      </c>
      <c r="T15" s="38">
        <v>0.29310000000000003</v>
      </c>
      <c r="U15" s="38">
        <v>0.2969</v>
      </c>
      <c r="V15" s="38">
        <v>0.18060000000000001</v>
      </c>
      <c r="W15" s="38">
        <v>0.1807</v>
      </c>
      <c r="X15" s="38">
        <v>0.18340000000000001</v>
      </c>
      <c r="Y15" s="38">
        <v>0.1794</v>
      </c>
      <c r="Z15" s="38">
        <v>0.1767</v>
      </c>
      <c r="AA15" s="38">
        <v>0.17849999999999999</v>
      </c>
    </row>
    <row r="16" spans="1:27" x14ac:dyDescent="0.2">
      <c r="C16" s="38">
        <v>0.23860000000000001</v>
      </c>
      <c r="D16" s="38">
        <v>0.24879999999999999</v>
      </c>
      <c r="E16" s="38">
        <v>0.24709999999999999</v>
      </c>
      <c r="F16" s="38">
        <v>0.23219999999999999</v>
      </c>
      <c r="G16" s="38">
        <v>0.2429</v>
      </c>
      <c r="H16" s="38">
        <v>0.24199999999999999</v>
      </c>
      <c r="I16" s="38">
        <v>0.1318</v>
      </c>
      <c r="J16" s="38">
        <v>0.13270000000000001</v>
      </c>
      <c r="K16" s="38">
        <v>0.1346</v>
      </c>
      <c r="L16" s="38">
        <v>0.13239999999999999</v>
      </c>
      <c r="M16" s="38">
        <v>0.1326</v>
      </c>
      <c r="N16" s="38">
        <v>0.13070000000000001</v>
      </c>
      <c r="P16" s="38">
        <v>0.29349999999999998</v>
      </c>
      <c r="Q16" s="38">
        <v>0.30380000000000001</v>
      </c>
      <c r="R16" s="38">
        <v>0.30790000000000001</v>
      </c>
      <c r="S16" s="38">
        <v>0.2878</v>
      </c>
      <c r="T16" s="38">
        <v>0.30280000000000001</v>
      </c>
      <c r="U16" s="38">
        <v>0.30030000000000001</v>
      </c>
      <c r="V16" s="38">
        <v>0.18049999999999999</v>
      </c>
      <c r="W16" s="38">
        <v>0.17899999999999999</v>
      </c>
      <c r="X16" s="38">
        <v>0.18279999999999999</v>
      </c>
      <c r="Y16" s="38">
        <v>0.17829999999999999</v>
      </c>
      <c r="Z16" s="38">
        <v>0.1792</v>
      </c>
      <c r="AA16" s="38">
        <v>0.18079999999999999</v>
      </c>
    </row>
    <row r="17" spans="1:27" x14ac:dyDescent="0.2">
      <c r="B17" s="38" t="s">
        <v>24</v>
      </c>
      <c r="C17" s="38">
        <f t="shared" ref="C17:N17" si="1">AVERAGE(C14:C16)</f>
        <v>0.23773333333333335</v>
      </c>
      <c r="D17" s="38">
        <f t="shared" si="1"/>
        <v>0.24133333333333332</v>
      </c>
      <c r="E17" s="38">
        <f t="shared" si="1"/>
        <v>0.24186666666666667</v>
      </c>
      <c r="F17" s="38">
        <f t="shared" si="1"/>
        <v>0.22946666666666668</v>
      </c>
      <c r="G17" s="38">
        <f t="shared" si="1"/>
        <v>0.23740000000000003</v>
      </c>
      <c r="H17" s="38">
        <f t="shared" si="1"/>
        <v>0.23913333333333334</v>
      </c>
      <c r="I17" s="38">
        <f t="shared" si="1"/>
        <v>0.13126666666666667</v>
      </c>
      <c r="J17" s="38">
        <f t="shared" si="1"/>
        <v>0.13390000000000002</v>
      </c>
      <c r="K17" s="38">
        <f t="shared" si="1"/>
        <v>0.13469999999999999</v>
      </c>
      <c r="L17" s="38">
        <f t="shared" si="1"/>
        <v>0.13246666666666665</v>
      </c>
      <c r="M17" s="38">
        <f t="shared" si="1"/>
        <v>0.13376666666666667</v>
      </c>
      <c r="N17" s="38">
        <f t="shared" si="1"/>
        <v>0.13070000000000001</v>
      </c>
    </row>
    <row r="19" spans="1:27" x14ac:dyDescent="0.2">
      <c r="A19" s="39">
        <v>41747</v>
      </c>
      <c r="B19" s="38" t="s">
        <v>55</v>
      </c>
      <c r="C19" s="38">
        <v>1</v>
      </c>
      <c r="D19" s="38">
        <v>2</v>
      </c>
      <c r="E19" s="38">
        <v>3</v>
      </c>
      <c r="F19" s="38">
        <v>4</v>
      </c>
      <c r="G19" s="38">
        <v>5</v>
      </c>
      <c r="H19" s="38">
        <v>6</v>
      </c>
      <c r="I19" s="38">
        <v>7</v>
      </c>
      <c r="J19" s="38">
        <v>8</v>
      </c>
      <c r="K19" s="38">
        <v>9</v>
      </c>
      <c r="L19" s="38">
        <v>10</v>
      </c>
      <c r="M19" s="38">
        <v>11</v>
      </c>
      <c r="N19" s="38">
        <v>12</v>
      </c>
      <c r="P19" s="38">
        <v>1</v>
      </c>
      <c r="Q19" s="38">
        <v>2</v>
      </c>
      <c r="R19" s="38">
        <v>3</v>
      </c>
      <c r="S19" s="38">
        <v>4</v>
      </c>
      <c r="T19" s="38">
        <v>5</v>
      </c>
      <c r="U19" s="38">
        <v>6</v>
      </c>
      <c r="V19" s="38">
        <v>7</v>
      </c>
      <c r="W19" s="38">
        <v>8</v>
      </c>
      <c r="X19" s="38">
        <v>9</v>
      </c>
      <c r="Y19" s="38">
        <v>10</v>
      </c>
      <c r="Z19" s="38">
        <v>11</v>
      </c>
      <c r="AA19" s="38">
        <v>12</v>
      </c>
    </row>
    <row r="20" spans="1:27" x14ac:dyDescent="0.2">
      <c r="A20" s="40">
        <v>0.45833333333333331</v>
      </c>
      <c r="B20" s="38">
        <v>23.3</v>
      </c>
      <c r="C20" s="38">
        <v>0.28720000000000001</v>
      </c>
      <c r="D20" s="38">
        <v>0.2843</v>
      </c>
      <c r="E20" s="38">
        <v>0.2959</v>
      </c>
      <c r="F20" s="38">
        <v>0.31509999999999999</v>
      </c>
      <c r="G20" s="38">
        <v>0.3362</v>
      </c>
      <c r="H20" s="38">
        <v>0.29959999999999998</v>
      </c>
      <c r="I20" s="38">
        <v>0.14380000000000001</v>
      </c>
      <c r="J20" s="38">
        <v>0.14710000000000001</v>
      </c>
      <c r="K20" s="38">
        <v>0.13569999999999999</v>
      </c>
      <c r="L20" s="38">
        <v>0.13850000000000001</v>
      </c>
      <c r="M20" s="38">
        <v>0.1421</v>
      </c>
      <c r="N20" s="38">
        <v>0.1394</v>
      </c>
      <c r="P20" s="38">
        <v>0.33119999999999999</v>
      </c>
      <c r="Q20" s="38">
        <v>0.33090000000000003</v>
      </c>
      <c r="R20" s="38">
        <v>0.33950000000000002</v>
      </c>
      <c r="S20" s="38">
        <v>0.36969999999999997</v>
      </c>
      <c r="T20" s="38">
        <v>0.39350000000000002</v>
      </c>
      <c r="U20" s="38">
        <v>0.35460000000000003</v>
      </c>
      <c r="V20" s="38">
        <v>0.18720000000000001</v>
      </c>
      <c r="W20" s="38">
        <v>0.1938</v>
      </c>
      <c r="X20" s="38">
        <v>0.17829999999999999</v>
      </c>
      <c r="Y20" s="38">
        <v>0.17949999999999999</v>
      </c>
      <c r="Z20" s="38">
        <v>0.18720000000000001</v>
      </c>
      <c r="AA20" s="38">
        <v>0.1812</v>
      </c>
    </row>
    <row r="21" spans="1:27" x14ac:dyDescent="0.2">
      <c r="C21" s="38">
        <v>0.2843</v>
      </c>
      <c r="D21" s="38">
        <v>0.27900000000000003</v>
      </c>
      <c r="E21" s="38">
        <v>0.29389999999999999</v>
      </c>
      <c r="F21" s="38">
        <v>0.307</v>
      </c>
      <c r="G21" s="38">
        <v>0.33119999999999999</v>
      </c>
      <c r="H21" s="38">
        <v>0.28589999999999999</v>
      </c>
      <c r="I21" s="38">
        <v>0.1419</v>
      </c>
      <c r="J21" s="38">
        <v>0.14499999999999999</v>
      </c>
      <c r="K21" s="38">
        <v>0.1328</v>
      </c>
      <c r="L21" s="38">
        <v>0.1366</v>
      </c>
      <c r="M21" s="38">
        <v>0.13969999999999999</v>
      </c>
      <c r="N21" s="38">
        <v>0.13500000000000001</v>
      </c>
      <c r="P21" s="38">
        <v>0.33110000000000001</v>
      </c>
      <c r="Q21" s="38">
        <v>0.32979999999999998</v>
      </c>
      <c r="R21" s="38">
        <v>0.34439999999999998</v>
      </c>
      <c r="S21" s="38">
        <v>0.36749999999999999</v>
      </c>
      <c r="T21" s="38">
        <v>0.39079999999999998</v>
      </c>
      <c r="U21" s="38">
        <v>0.3417</v>
      </c>
      <c r="V21" s="38">
        <v>0.186</v>
      </c>
      <c r="W21" s="38">
        <v>0.19189999999999999</v>
      </c>
      <c r="X21" s="38">
        <v>0.17319999999999999</v>
      </c>
      <c r="Y21" s="38">
        <v>0.17649999999999999</v>
      </c>
      <c r="Z21" s="38">
        <v>0.18540000000000001</v>
      </c>
      <c r="AA21" s="38">
        <v>0.17860000000000001</v>
      </c>
    </row>
    <row r="22" spans="1:27" x14ac:dyDescent="0.2">
      <c r="C22" s="38">
        <v>0.30030000000000001</v>
      </c>
      <c r="D22" s="38">
        <v>0.2969</v>
      </c>
      <c r="E22" s="38">
        <v>0.30470000000000003</v>
      </c>
      <c r="F22" s="38">
        <v>0.30909999999999999</v>
      </c>
      <c r="G22" s="38">
        <v>0.32979999999999998</v>
      </c>
      <c r="H22" s="38">
        <v>0.2923</v>
      </c>
      <c r="I22" s="38">
        <v>0.13830000000000001</v>
      </c>
      <c r="J22" s="38">
        <v>0.14030000000000001</v>
      </c>
      <c r="K22" s="38">
        <v>0.13159999999999999</v>
      </c>
      <c r="L22" s="38">
        <v>0.1331</v>
      </c>
      <c r="M22" s="38">
        <v>0.13569999999999999</v>
      </c>
      <c r="N22" s="38">
        <v>0.1305</v>
      </c>
      <c r="P22" s="38">
        <v>0.36059999999999998</v>
      </c>
      <c r="Q22" s="38">
        <v>0.35220000000000001</v>
      </c>
      <c r="R22" s="38">
        <v>0.35610000000000003</v>
      </c>
      <c r="S22" s="38">
        <v>0.3664</v>
      </c>
      <c r="T22" s="38">
        <v>0.38840000000000002</v>
      </c>
      <c r="U22" s="38">
        <v>0.3473</v>
      </c>
      <c r="V22" s="38">
        <v>0.18260000000000001</v>
      </c>
      <c r="W22" s="38">
        <v>0.1888</v>
      </c>
      <c r="X22" s="38">
        <v>0.1767</v>
      </c>
      <c r="Y22" s="38">
        <v>0.17349999999999999</v>
      </c>
      <c r="Z22" s="38">
        <v>0.1812</v>
      </c>
      <c r="AA22" s="38">
        <v>0.1736</v>
      </c>
    </row>
    <row r="23" spans="1:27" x14ac:dyDescent="0.2">
      <c r="B23" s="38" t="s">
        <v>24</v>
      </c>
      <c r="C23" s="38">
        <f t="shared" ref="C23:N23" si="2">AVERAGE(C20:C22)</f>
        <v>0.29060000000000002</v>
      </c>
      <c r="D23" s="38">
        <f t="shared" si="2"/>
        <v>0.28673333333333334</v>
      </c>
      <c r="E23" s="38">
        <f t="shared" si="2"/>
        <v>0.29816666666666669</v>
      </c>
      <c r="F23" s="38">
        <f t="shared" si="2"/>
        <v>0.31040000000000001</v>
      </c>
      <c r="G23" s="38">
        <f t="shared" si="2"/>
        <v>0.33239999999999997</v>
      </c>
      <c r="H23" s="38">
        <f t="shared" si="2"/>
        <v>0.29259999999999997</v>
      </c>
      <c r="I23" s="38">
        <f t="shared" si="2"/>
        <v>0.14133333333333334</v>
      </c>
      <c r="J23" s="38">
        <f t="shared" si="2"/>
        <v>0.14413333333333334</v>
      </c>
      <c r="K23" s="38">
        <f t="shared" si="2"/>
        <v>0.13336666666666666</v>
      </c>
      <c r="L23" s="38">
        <f t="shared" si="2"/>
        <v>0.13606666666666667</v>
      </c>
      <c r="M23" s="38">
        <f t="shared" si="2"/>
        <v>0.13916666666666666</v>
      </c>
      <c r="N23" s="38">
        <f t="shared" si="2"/>
        <v>0.13496666666666665</v>
      </c>
    </row>
    <row r="25" spans="1:27" x14ac:dyDescent="0.2">
      <c r="A25" s="39">
        <v>41748</v>
      </c>
      <c r="B25" s="38" t="s">
        <v>55</v>
      </c>
      <c r="C25" s="38">
        <v>1</v>
      </c>
      <c r="D25" s="38">
        <v>2</v>
      </c>
      <c r="E25" s="38">
        <v>3</v>
      </c>
      <c r="F25" s="38">
        <v>4</v>
      </c>
      <c r="G25" s="38">
        <v>5</v>
      </c>
      <c r="H25" s="38">
        <v>6</v>
      </c>
      <c r="I25" s="38">
        <v>7</v>
      </c>
      <c r="J25" s="38">
        <v>8</v>
      </c>
      <c r="K25" s="38">
        <v>9</v>
      </c>
      <c r="L25" s="38">
        <v>10</v>
      </c>
      <c r="M25" s="38">
        <v>11</v>
      </c>
      <c r="N25" s="38">
        <v>12</v>
      </c>
      <c r="P25" s="38">
        <v>1</v>
      </c>
      <c r="Q25" s="38">
        <v>2</v>
      </c>
      <c r="R25" s="38">
        <v>3</v>
      </c>
      <c r="S25" s="38">
        <v>4</v>
      </c>
      <c r="T25" s="38">
        <v>5</v>
      </c>
      <c r="U25" s="38">
        <v>6</v>
      </c>
      <c r="V25" s="38">
        <v>7</v>
      </c>
      <c r="W25" s="38">
        <v>8</v>
      </c>
      <c r="X25" s="38">
        <v>9</v>
      </c>
      <c r="Y25" s="38">
        <v>10</v>
      </c>
      <c r="Z25" s="38">
        <v>11</v>
      </c>
      <c r="AA25" s="38">
        <v>12</v>
      </c>
    </row>
    <row r="26" spans="1:27" x14ac:dyDescent="0.2">
      <c r="A26" s="40">
        <v>0.4375</v>
      </c>
      <c r="B26" s="38">
        <v>23.1</v>
      </c>
    </row>
    <row r="29" spans="1:27" x14ac:dyDescent="0.2">
      <c r="C29" s="38">
        <v>0.30869999999999997</v>
      </c>
      <c r="D29" s="38">
        <v>0.32779999999999998</v>
      </c>
      <c r="E29" s="38">
        <v>0.30719999999999997</v>
      </c>
      <c r="F29" s="38">
        <v>0.31640000000000001</v>
      </c>
      <c r="G29" s="38">
        <v>0.30449999999999999</v>
      </c>
      <c r="H29" s="38">
        <v>0.30919999999999997</v>
      </c>
      <c r="I29" s="38">
        <v>0.1497</v>
      </c>
      <c r="J29" s="38">
        <v>0.14749999999999999</v>
      </c>
      <c r="K29" s="38">
        <v>0.1449</v>
      </c>
      <c r="L29" s="38">
        <v>0.1452</v>
      </c>
      <c r="M29" s="38">
        <v>0.1447</v>
      </c>
      <c r="N29" s="38">
        <v>0.14510000000000001</v>
      </c>
      <c r="P29" s="38">
        <v>0.35620000000000002</v>
      </c>
      <c r="Q29" s="38">
        <v>0.38390000000000002</v>
      </c>
      <c r="R29" s="38">
        <v>0.35610000000000003</v>
      </c>
      <c r="S29" s="38">
        <v>0.36849999999999999</v>
      </c>
      <c r="T29" s="38">
        <v>0.35420000000000001</v>
      </c>
      <c r="U29" s="38">
        <v>0.3619</v>
      </c>
      <c r="V29" s="38">
        <v>0.1966</v>
      </c>
      <c r="W29" s="38">
        <v>0.19539999999999999</v>
      </c>
      <c r="X29" s="38">
        <v>0.19020000000000001</v>
      </c>
      <c r="Y29" s="38">
        <v>0.18920000000000001</v>
      </c>
      <c r="Z29" s="38">
        <v>0.192</v>
      </c>
      <c r="AA29" s="38">
        <v>0.18920000000000001</v>
      </c>
    </row>
    <row r="30" spans="1:27" x14ac:dyDescent="0.2">
      <c r="C30" s="38">
        <v>0.31380000000000002</v>
      </c>
      <c r="D30" s="38">
        <v>0.32700000000000001</v>
      </c>
      <c r="E30" s="38">
        <v>0.31340000000000001</v>
      </c>
      <c r="F30" s="38">
        <v>0.32090000000000002</v>
      </c>
      <c r="G30" s="38">
        <v>0.30580000000000002</v>
      </c>
      <c r="H30" s="38">
        <v>0.30940000000000001</v>
      </c>
      <c r="I30" s="38">
        <v>0.1457</v>
      </c>
      <c r="J30" s="38">
        <v>0.14480000000000001</v>
      </c>
      <c r="K30" s="38">
        <v>0.1401</v>
      </c>
      <c r="L30" s="38">
        <v>0.1459</v>
      </c>
      <c r="M30" s="38">
        <v>0.14460000000000001</v>
      </c>
      <c r="N30" s="38">
        <v>0.14630000000000001</v>
      </c>
      <c r="P30" s="38">
        <v>0.36409999999999998</v>
      </c>
      <c r="Q30" s="38">
        <v>0.38229999999999997</v>
      </c>
      <c r="R30" s="38">
        <v>0.3639</v>
      </c>
      <c r="S30" s="38">
        <v>0.37969999999999998</v>
      </c>
      <c r="T30" s="38">
        <v>0.3574</v>
      </c>
      <c r="U30" s="38">
        <v>0.36759999999999998</v>
      </c>
      <c r="V30" s="38">
        <v>0.19209999999999999</v>
      </c>
      <c r="W30" s="38">
        <v>0.19259999999999999</v>
      </c>
      <c r="X30" s="38">
        <v>0.18629999999999999</v>
      </c>
      <c r="Y30" s="38">
        <v>0.19309999999999999</v>
      </c>
      <c r="Z30" s="38">
        <v>0.19339999999999999</v>
      </c>
      <c r="AA30" s="38">
        <v>0.19359999999999999</v>
      </c>
    </row>
    <row r="31" spans="1:27" x14ac:dyDescent="0.2">
      <c r="C31" s="38">
        <v>0.33079999999999998</v>
      </c>
      <c r="D31" s="38">
        <v>0.3377</v>
      </c>
      <c r="E31" s="38">
        <v>0.31409999999999999</v>
      </c>
      <c r="F31" s="38">
        <v>0.32379999999999998</v>
      </c>
      <c r="G31" s="38">
        <v>0.31359999999999999</v>
      </c>
      <c r="H31" s="38">
        <v>0.3236</v>
      </c>
      <c r="I31" s="38">
        <v>0.1426</v>
      </c>
      <c r="J31" s="38">
        <v>0.1449</v>
      </c>
      <c r="K31" s="38">
        <v>0.1346</v>
      </c>
      <c r="L31" s="38">
        <v>0.14410000000000001</v>
      </c>
      <c r="M31" s="38">
        <v>0.1444</v>
      </c>
      <c r="N31" s="38">
        <v>0.14269999999999999</v>
      </c>
      <c r="P31" s="38">
        <v>0.37809999999999999</v>
      </c>
      <c r="Q31" s="38">
        <v>0.39810000000000001</v>
      </c>
      <c r="R31" s="38">
        <v>0.36099999999999999</v>
      </c>
      <c r="S31" s="38">
        <v>0.37780000000000002</v>
      </c>
      <c r="T31" s="38">
        <v>0.36249999999999999</v>
      </c>
      <c r="U31" s="38">
        <v>0.3841</v>
      </c>
      <c r="V31" s="38">
        <v>0.19070000000000001</v>
      </c>
      <c r="W31" s="38">
        <v>0.18990000000000001</v>
      </c>
      <c r="X31" s="38">
        <v>0.1769</v>
      </c>
      <c r="Y31" s="38">
        <v>0.191</v>
      </c>
      <c r="Z31" s="38">
        <v>0.19259999999999999</v>
      </c>
      <c r="AA31" s="38">
        <v>0.19</v>
      </c>
    </row>
    <row r="32" spans="1:27" x14ac:dyDescent="0.2">
      <c r="B32" s="38" t="s">
        <v>24</v>
      </c>
      <c r="C32" s="38">
        <f t="shared" ref="C32:N32" si="3">AVERAGE(C29:C31)</f>
        <v>0.3177666666666667</v>
      </c>
      <c r="D32" s="38">
        <f t="shared" si="3"/>
        <v>0.33083333333333337</v>
      </c>
      <c r="E32" s="38">
        <f t="shared" si="3"/>
        <v>0.31156666666666671</v>
      </c>
      <c r="F32" s="38">
        <f t="shared" si="3"/>
        <v>0.32036666666666663</v>
      </c>
      <c r="G32" s="38">
        <f t="shared" si="3"/>
        <v>0.30796666666666667</v>
      </c>
      <c r="H32" s="38">
        <f t="shared" si="3"/>
        <v>0.31406666666666666</v>
      </c>
      <c r="I32" s="38">
        <f t="shared" si="3"/>
        <v>0.14599999999999999</v>
      </c>
      <c r="J32" s="38">
        <f t="shared" si="3"/>
        <v>0.14573333333333335</v>
      </c>
      <c r="K32" s="38">
        <f t="shared" si="3"/>
        <v>0.13986666666666667</v>
      </c>
      <c r="L32" s="38">
        <f t="shared" si="3"/>
        <v>0.14506666666666668</v>
      </c>
      <c r="M32" s="38">
        <f t="shared" si="3"/>
        <v>0.14456666666666665</v>
      </c>
      <c r="N32" s="38">
        <f t="shared" si="3"/>
        <v>0.1447</v>
      </c>
    </row>
    <row r="34" spans="1:27" x14ac:dyDescent="0.2">
      <c r="A34" s="39">
        <v>41749</v>
      </c>
      <c r="B34" s="38" t="s">
        <v>55</v>
      </c>
      <c r="C34" s="38">
        <v>1</v>
      </c>
      <c r="D34" s="38">
        <v>2</v>
      </c>
      <c r="E34" s="38">
        <v>3</v>
      </c>
      <c r="F34" s="38">
        <v>4</v>
      </c>
      <c r="G34" s="38">
        <v>5</v>
      </c>
      <c r="H34" s="38">
        <v>6</v>
      </c>
      <c r="I34" s="38">
        <v>7</v>
      </c>
      <c r="J34" s="38">
        <v>8</v>
      </c>
      <c r="K34" s="38">
        <v>9</v>
      </c>
      <c r="L34" s="38">
        <v>10</v>
      </c>
      <c r="M34" s="38">
        <v>11</v>
      </c>
      <c r="N34" s="38">
        <v>12</v>
      </c>
      <c r="P34" s="38">
        <v>1</v>
      </c>
      <c r="Q34" s="38">
        <v>2</v>
      </c>
      <c r="R34" s="38">
        <v>3</v>
      </c>
      <c r="S34" s="38">
        <v>4</v>
      </c>
      <c r="T34" s="38">
        <v>5</v>
      </c>
      <c r="U34" s="38">
        <v>6</v>
      </c>
      <c r="V34" s="38">
        <v>7</v>
      </c>
      <c r="W34" s="38">
        <v>8</v>
      </c>
      <c r="X34" s="38">
        <v>9</v>
      </c>
      <c r="Y34" s="38">
        <v>10</v>
      </c>
      <c r="Z34" s="38">
        <v>11</v>
      </c>
      <c r="AA34" s="38">
        <v>12</v>
      </c>
    </row>
    <row r="35" spans="1:27" x14ac:dyDescent="0.2">
      <c r="A35" s="40">
        <v>0.4375</v>
      </c>
      <c r="B35" s="38">
        <v>23.5</v>
      </c>
      <c r="C35" s="38">
        <v>0.33989999999999998</v>
      </c>
      <c r="D35" s="38">
        <v>0.34</v>
      </c>
      <c r="E35" s="38">
        <v>0.32290000000000002</v>
      </c>
      <c r="F35" s="38">
        <v>0.31490000000000001</v>
      </c>
      <c r="G35" s="38">
        <v>0.31059999999999999</v>
      </c>
      <c r="H35" s="38">
        <v>0.29559999999999997</v>
      </c>
      <c r="I35" s="38">
        <v>0.15229999999999999</v>
      </c>
      <c r="J35" s="38">
        <v>0.15939999999999999</v>
      </c>
      <c r="K35" s="38">
        <v>0.15060000000000001</v>
      </c>
      <c r="L35" s="38">
        <v>0.15240000000000001</v>
      </c>
      <c r="M35" s="38">
        <v>0.14990000000000001</v>
      </c>
      <c r="N35" s="38">
        <v>0.1535</v>
      </c>
      <c r="P35" s="38">
        <v>0.38009999999999999</v>
      </c>
      <c r="Q35" s="38">
        <v>0.3876</v>
      </c>
      <c r="R35" s="38">
        <v>0.3493</v>
      </c>
      <c r="S35" s="38">
        <v>0.3533</v>
      </c>
      <c r="T35" s="38">
        <v>0.34649999999999997</v>
      </c>
      <c r="U35" s="38">
        <v>0.33110000000000001</v>
      </c>
      <c r="V35" s="38">
        <v>0.19769999999999999</v>
      </c>
      <c r="W35" s="38">
        <v>0.20660000000000001</v>
      </c>
      <c r="X35" s="38">
        <v>0.19059999999999999</v>
      </c>
      <c r="Y35" s="38">
        <v>0.1958</v>
      </c>
      <c r="Z35" s="38">
        <v>0.1913</v>
      </c>
      <c r="AA35" s="38">
        <v>0.1948</v>
      </c>
    </row>
    <row r="36" spans="1:27" x14ac:dyDescent="0.2">
      <c r="C36" s="38">
        <v>0.34760000000000002</v>
      </c>
      <c r="D36" s="38">
        <v>0.34360000000000002</v>
      </c>
      <c r="E36" s="38">
        <v>0.32440000000000002</v>
      </c>
      <c r="F36" s="38">
        <v>0.32719999999999999</v>
      </c>
      <c r="G36" s="38">
        <v>0.3054</v>
      </c>
      <c r="H36" s="38">
        <v>0.29959999999999998</v>
      </c>
      <c r="I36" s="38">
        <v>0.1507</v>
      </c>
      <c r="J36" s="38">
        <v>0.15790000000000001</v>
      </c>
      <c r="K36" s="38">
        <v>0.15010000000000001</v>
      </c>
      <c r="L36" s="38">
        <v>0.15260000000000001</v>
      </c>
      <c r="M36" s="38">
        <v>0.14990000000000001</v>
      </c>
      <c r="N36" s="38">
        <v>0.1507</v>
      </c>
      <c r="P36" s="38">
        <v>0.39140000000000003</v>
      </c>
      <c r="Q36" s="38">
        <v>0.39079999999999998</v>
      </c>
      <c r="R36" s="38">
        <v>0.36549999999999999</v>
      </c>
      <c r="S36" s="38">
        <v>0.37059999999999998</v>
      </c>
      <c r="T36" s="38">
        <v>0.34720000000000001</v>
      </c>
      <c r="U36" s="38">
        <v>0.3422</v>
      </c>
      <c r="V36" s="38">
        <v>0.1943</v>
      </c>
      <c r="W36" s="38">
        <v>0.20369999999999999</v>
      </c>
      <c r="X36" s="38">
        <v>0.1938</v>
      </c>
      <c r="Y36" s="38">
        <v>0.1953</v>
      </c>
      <c r="Z36" s="38">
        <v>0.19470000000000001</v>
      </c>
      <c r="AA36" s="38">
        <v>0.19409999999999999</v>
      </c>
    </row>
    <row r="37" spans="1:27" x14ac:dyDescent="0.2">
      <c r="C37" s="38">
        <v>0.3533</v>
      </c>
      <c r="D37" s="38">
        <v>0.34820000000000001</v>
      </c>
      <c r="E37" s="38">
        <v>0.33739999999999998</v>
      </c>
      <c r="F37" s="38">
        <v>0.32219999999999999</v>
      </c>
      <c r="G37" s="38">
        <v>0.30259999999999998</v>
      </c>
      <c r="H37" s="38">
        <v>0.29089999999999999</v>
      </c>
      <c r="I37" s="38">
        <v>0.14779999999999999</v>
      </c>
      <c r="J37" s="38">
        <v>0.1547</v>
      </c>
      <c r="K37" s="38">
        <v>0.14849999999999999</v>
      </c>
      <c r="L37" s="38">
        <v>0.14480000000000001</v>
      </c>
      <c r="M37" s="38">
        <v>0.1457</v>
      </c>
      <c r="N37" s="38">
        <v>0.15</v>
      </c>
      <c r="P37" s="38">
        <v>0.40310000000000001</v>
      </c>
      <c r="Q37" s="38">
        <v>0.39979999999999999</v>
      </c>
      <c r="R37" s="38">
        <v>0.3775</v>
      </c>
      <c r="S37" s="38">
        <v>0.3659</v>
      </c>
      <c r="T37" s="38">
        <v>0.34129999999999999</v>
      </c>
      <c r="U37" s="38">
        <v>0.33289999999999997</v>
      </c>
      <c r="V37" s="38">
        <v>0.19339999999999999</v>
      </c>
      <c r="W37" s="38">
        <v>0.20349999999999999</v>
      </c>
      <c r="X37" s="38">
        <v>0.1925</v>
      </c>
      <c r="Y37" s="38">
        <v>0.19059999999999999</v>
      </c>
      <c r="Z37" s="38">
        <v>0.19139999999999999</v>
      </c>
      <c r="AA37" s="38">
        <v>0.1966</v>
      </c>
    </row>
    <row r="38" spans="1:27" x14ac:dyDescent="0.2">
      <c r="B38" s="38" t="s">
        <v>24</v>
      </c>
      <c r="C38" s="38">
        <f t="shared" ref="C38:N38" si="4">AVERAGE(C35:C37)</f>
        <v>0.34693333333333332</v>
      </c>
      <c r="D38" s="38">
        <f t="shared" si="4"/>
        <v>0.34393333333333337</v>
      </c>
      <c r="E38" s="38">
        <f t="shared" si="4"/>
        <v>0.32823333333333332</v>
      </c>
      <c r="F38" s="38">
        <f t="shared" si="4"/>
        <v>0.32143333333333329</v>
      </c>
      <c r="G38" s="38">
        <f t="shared" si="4"/>
        <v>0.30619999999999997</v>
      </c>
      <c r="H38" s="38">
        <f t="shared" si="4"/>
        <v>0.29536666666666661</v>
      </c>
      <c r="I38" s="38">
        <f t="shared" si="4"/>
        <v>0.15026666666666666</v>
      </c>
      <c r="J38" s="38">
        <f t="shared" si="4"/>
        <v>0.15733333333333335</v>
      </c>
      <c r="K38" s="38">
        <f t="shared" si="4"/>
        <v>0.14973333333333336</v>
      </c>
      <c r="L38" s="38">
        <f t="shared" si="4"/>
        <v>0.14993333333333336</v>
      </c>
      <c r="M38" s="38">
        <f t="shared" si="4"/>
        <v>0.14849999999999999</v>
      </c>
      <c r="N38" s="38">
        <f t="shared" si="4"/>
        <v>0.15140000000000001</v>
      </c>
    </row>
    <row r="40" spans="1:27" x14ac:dyDescent="0.2">
      <c r="A40" s="39">
        <v>41750</v>
      </c>
      <c r="B40" s="38" t="s">
        <v>55</v>
      </c>
      <c r="C40" s="38">
        <v>1</v>
      </c>
      <c r="D40" s="38">
        <v>2</v>
      </c>
      <c r="E40" s="38">
        <v>3</v>
      </c>
      <c r="F40" s="38">
        <v>4</v>
      </c>
      <c r="G40" s="38">
        <v>5</v>
      </c>
      <c r="H40" s="38">
        <v>6</v>
      </c>
      <c r="I40" s="38">
        <v>7</v>
      </c>
      <c r="J40" s="38">
        <v>8</v>
      </c>
      <c r="K40" s="38">
        <v>9</v>
      </c>
      <c r="L40" s="38">
        <v>10</v>
      </c>
      <c r="M40" s="38">
        <v>11</v>
      </c>
      <c r="N40" s="38">
        <v>12</v>
      </c>
      <c r="P40" s="38">
        <v>1</v>
      </c>
      <c r="Q40" s="38">
        <v>2</v>
      </c>
      <c r="R40" s="38">
        <v>3</v>
      </c>
      <c r="S40" s="38">
        <v>4</v>
      </c>
      <c r="T40" s="38">
        <v>5</v>
      </c>
      <c r="U40" s="38">
        <v>6</v>
      </c>
      <c r="V40" s="38">
        <v>7</v>
      </c>
      <c r="W40" s="38">
        <v>8</v>
      </c>
      <c r="X40" s="38">
        <v>9</v>
      </c>
      <c r="Y40" s="38">
        <v>10</v>
      </c>
      <c r="Z40" s="38">
        <v>11</v>
      </c>
      <c r="AA40" s="38">
        <v>12</v>
      </c>
    </row>
    <row r="41" spans="1:27" x14ac:dyDescent="0.2">
      <c r="A41" s="40">
        <v>0.41666666666666669</v>
      </c>
      <c r="B41" s="38">
        <v>23.2</v>
      </c>
      <c r="C41" s="38">
        <v>0.318</v>
      </c>
      <c r="D41" s="38">
        <v>0.3301</v>
      </c>
      <c r="E41" s="38">
        <v>0.31119999999999998</v>
      </c>
      <c r="F41" s="38">
        <v>0.31090000000000001</v>
      </c>
      <c r="G41" s="38">
        <v>0.29809999999999998</v>
      </c>
      <c r="H41" s="38">
        <v>0.31109999999999999</v>
      </c>
      <c r="I41" s="38">
        <v>0.15939999999999999</v>
      </c>
      <c r="J41" s="38">
        <v>0.16139999999999999</v>
      </c>
      <c r="K41" s="38">
        <v>0.16320000000000001</v>
      </c>
      <c r="L41" s="38">
        <v>0.15570000000000001</v>
      </c>
      <c r="M41" s="38">
        <v>0.1623</v>
      </c>
      <c r="N41" s="38">
        <v>0.15890000000000001</v>
      </c>
      <c r="P41" s="38">
        <v>0.35420000000000001</v>
      </c>
      <c r="Q41" s="38">
        <v>0.37419999999999998</v>
      </c>
      <c r="R41" s="38">
        <v>0.33929999999999999</v>
      </c>
      <c r="S41" s="38">
        <v>0.3453</v>
      </c>
      <c r="T41" s="38">
        <v>0.32729999999999998</v>
      </c>
      <c r="U41" s="38">
        <v>0.33910000000000001</v>
      </c>
      <c r="V41" s="38">
        <v>0.2021</v>
      </c>
      <c r="W41" s="38">
        <v>0.2089</v>
      </c>
      <c r="X41" s="38">
        <v>0.20880000000000001</v>
      </c>
      <c r="Y41" s="38">
        <v>0.20019999999999999</v>
      </c>
      <c r="Z41" s="38">
        <v>0.2084</v>
      </c>
      <c r="AA41" s="38">
        <v>0.20369999999999999</v>
      </c>
    </row>
    <row r="42" spans="1:27" x14ac:dyDescent="0.2">
      <c r="C42" s="38">
        <v>0.31719999999999998</v>
      </c>
      <c r="D42" s="38">
        <v>0.33</v>
      </c>
      <c r="E42" s="38">
        <v>0.30909999999999999</v>
      </c>
      <c r="F42" s="38">
        <v>0.31009999999999999</v>
      </c>
      <c r="G42" s="38">
        <v>0.29630000000000001</v>
      </c>
      <c r="H42" s="38">
        <v>0.28070000000000001</v>
      </c>
      <c r="I42" s="38">
        <v>0.15740000000000001</v>
      </c>
      <c r="J42" s="38">
        <v>0.15939999999999999</v>
      </c>
      <c r="K42" s="38">
        <v>0.16009999999999999</v>
      </c>
      <c r="L42" s="38">
        <v>0.15529999999999999</v>
      </c>
      <c r="M42" s="38">
        <v>0.1583</v>
      </c>
      <c r="N42" s="38">
        <v>0.15629999999999999</v>
      </c>
      <c r="P42" s="38">
        <v>0.35920000000000002</v>
      </c>
      <c r="Q42" s="38">
        <v>0.3745</v>
      </c>
      <c r="R42" s="38">
        <v>0.34250000000000003</v>
      </c>
      <c r="S42" s="38">
        <v>0.34239999999999998</v>
      </c>
      <c r="T42" s="38">
        <v>0.33029999999999998</v>
      </c>
      <c r="U42" s="38">
        <v>0.31609999999999999</v>
      </c>
      <c r="V42" s="38">
        <v>0.20269999999999999</v>
      </c>
      <c r="W42" s="38">
        <v>0.20730000000000001</v>
      </c>
      <c r="X42" s="38">
        <v>0.20469999999999999</v>
      </c>
      <c r="Y42" s="38">
        <v>0.19980000000000001</v>
      </c>
      <c r="Z42" s="38">
        <v>0.20430000000000001</v>
      </c>
      <c r="AA42" s="38">
        <v>0.20219999999999999</v>
      </c>
    </row>
    <row r="43" spans="1:27" x14ac:dyDescent="0.2">
      <c r="C43" s="38">
        <v>0.3145</v>
      </c>
      <c r="D43" s="38">
        <v>0.33489999999999998</v>
      </c>
      <c r="E43" s="38">
        <v>0.30980000000000002</v>
      </c>
      <c r="F43" s="38">
        <v>0.31140000000000001</v>
      </c>
      <c r="G43" s="38">
        <v>0.28670000000000001</v>
      </c>
      <c r="H43" s="38">
        <v>0.27629999999999999</v>
      </c>
      <c r="I43" s="38">
        <v>0.15609999999999999</v>
      </c>
      <c r="J43" s="38">
        <v>0.15679999999999999</v>
      </c>
      <c r="K43" s="38">
        <v>0.15870000000000001</v>
      </c>
      <c r="L43" s="38">
        <v>0.1535</v>
      </c>
      <c r="M43" s="38">
        <v>0.1542</v>
      </c>
      <c r="N43" s="38">
        <v>0.15340000000000001</v>
      </c>
      <c r="P43" s="38">
        <v>0.35310000000000002</v>
      </c>
      <c r="Q43" s="38">
        <v>0.38109999999999999</v>
      </c>
      <c r="R43" s="38">
        <v>0.34289999999999998</v>
      </c>
      <c r="S43" s="38">
        <v>0.34570000000000001</v>
      </c>
      <c r="T43" s="38">
        <v>0.32250000000000001</v>
      </c>
      <c r="U43" s="38">
        <v>0.31109999999999999</v>
      </c>
      <c r="V43" s="38">
        <v>0.20380000000000001</v>
      </c>
      <c r="W43" s="38">
        <v>0.2059</v>
      </c>
      <c r="X43" s="38">
        <v>0.20430000000000001</v>
      </c>
      <c r="Y43" s="38">
        <v>0.19939999999999999</v>
      </c>
      <c r="Z43" s="38">
        <v>0.20330000000000001</v>
      </c>
      <c r="AA43" s="38">
        <v>0.19900000000000001</v>
      </c>
    </row>
    <row r="44" spans="1:27" x14ac:dyDescent="0.2">
      <c r="B44" s="38" t="s">
        <v>24</v>
      </c>
      <c r="C44" s="38">
        <f t="shared" ref="C44:N44" si="5">AVERAGE(C41:C43)</f>
        <v>0.31656666666666666</v>
      </c>
      <c r="D44" s="38">
        <f t="shared" si="5"/>
        <v>0.33166666666666667</v>
      </c>
      <c r="E44" s="38">
        <f t="shared" si="5"/>
        <v>0.31003333333333333</v>
      </c>
      <c r="F44" s="38">
        <f t="shared" si="5"/>
        <v>0.31080000000000002</v>
      </c>
      <c r="G44" s="38">
        <f t="shared" si="5"/>
        <v>0.29370000000000002</v>
      </c>
      <c r="H44" s="38">
        <f t="shared" si="5"/>
        <v>0.28936666666666666</v>
      </c>
      <c r="I44" s="38">
        <f t="shared" si="5"/>
        <v>0.15763333333333332</v>
      </c>
      <c r="J44" s="38">
        <f t="shared" si="5"/>
        <v>0.15919999999999998</v>
      </c>
      <c r="K44" s="38">
        <f t="shared" si="5"/>
        <v>0.16066666666666668</v>
      </c>
      <c r="L44" s="38">
        <f t="shared" si="5"/>
        <v>0.15483333333333335</v>
      </c>
      <c r="M44" s="38">
        <f t="shared" si="5"/>
        <v>0.15826666666666667</v>
      </c>
      <c r="N44" s="38">
        <f t="shared" si="5"/>
        <v>0.15620000000000001</v>
      </c>
    </row>
    <row r="46" spans="1:27" x14ac:dyDescent="0.2">
      <c r="B46" s="38" t="s">
        <v>55</v>
      </c>
      <c r="C46" s="38">
        <v>1</v>
      </c>
      <c r="D46" s="38">
        <v>2</v>
      </c>
      <c r="E46" s="38">
        <v>3</v>
      </c>
      <c r="F46" s="38">
        <v>4</v>
      </c>
      <c r="G46" s="38">
        <v>5</v>
      </c>
      <c r="H46" s="38">
        <v>6</v>
      </c>
      <c r="I46" s="38">
        <v>7</v>
      </c>
      <c r="J46" s="38">
        <v>8</v>
      </c>
      <c r="K46" s="38">
        <v>9</v>
      </c>
      <c r="L46" s="38">
        <v>10</v>
      </c>
      <c r="M46" s="38">
        <v>11</v>
      </c>
      <c r="N46" s="38">
        <v>12</v>
      </c>
      <c r="P46" s="38">
        <v>1</v>
      </c>
      <c r="Q46" s="38">
        <v>2</v>
      </c>
      <c r="R46" s="38">
        <v>3</v>
      </c>
      <c r="S46" s="38">
        <v>4</v>
      </c>
      <c r="T46" s="38">
        <v>5</v>
      </c>
      <c r="U46" s="38">
        <v>6</v>
      </c>
      <c r="V46" s="38">
        <v>7</v>
      </c>
      <c r="W46" s="38">
        <v>8</v>
      </c>
      <c r="X46" s="38">
        <v>9</v>
      </c>
      <c r="Y46" s="38">
        <v>10</v>
      </c>
      <c r="Z46" s="38">
        <v>11</v>
      </c>
      <c r="AA46" s="38">
        <v>12</v>
      </c>
    </row>
    <row r="47" spans="1:27" x14ac:dyDescent="0.2">
      <c r="B47" s="38">
        <v>23.7</v>
      </c>
    </row>
    <row r="49" spans="2:27" x14ac:dyDescent="0.2">
      <c r="B49" s="38">
        <v>1</v>
      </c>
      <c r="C49" s="38">
        <v>0.32</v>
      </c>
      <c r="D49" s="38">
        <v>0.34620000000000001</v>
      </c>
      <c r="E49" s="38">
        <v>0.31790000000000002</v>
      </c>
      <c r="F49" s="38">
        <v>0.31</v>
      </c>
      <c r="G49" s="38">
        <v>0.29389999999999999</v>
      </c>
      <c r="H49" s="38">
        <v>0.28810000000000002</v>
      </c>
      <c r="I49" s="38">
        <v>0.15809999999999999</v>
      </c>
      <c r="J49" s="38">
        <v>0.161</v>
      </c>
      <c r="K49" s="38">
        <v>0.16550000000000001</v>
      </c>
      <c r="L49" s="38">
        <v>0.16020000000000001</v>
      </c>
      <c r="M49" s="38">
        <v>0.16070000000000001</v>
      </c>
      <c r="N49" s="38">
        <v>0.1608</v>
      </c>
      <c r="P49" s="38">
        <v>0.35670000000000002</v>
      </c>
      <c r="Q49" s="38">
        <v>0.3871</v>
      </c>
      <c r="R49" s="38">
        <v>0.3518</v>
      </c>
      <c r="S49" s="38">
        <v>0.34689999999999999</v>
      </c>
      <c r="T49" s="38">
        <v>0.3276</v>
      </c>
      <c r="U49" s="38">
        <v>0.32150000000000001</v>
      </c>
      <c r="V49" s="38">
        <v>0.2021</v>
      </c>
      <c r="W49" s="38">
        <v>0.2054</v>
      </c>
      <c r="X49" s="38">
        <v>0.2084</v>
      </c>
      <c r="Y49" s="38">
        <v>0.20269999999999999</v>
      </c>
      <c r="Z49" s="38">
        <v>0.20549999999999999</v>
      </c>
      <c r="AA49" s="38">
        <v>0.2051</v>
      </c>
    </row>
    <row r="50" spans="2:27" x14ac:dyDescent="0.2">
      <c r="B50" s="38">
        <f>B49*2</f>
        <v>2</v>
      </c>
      <c r="C50" s="38">
        <v>0.13020000000000001</v>
      </c>
      <c r="D50" s="38">
        <v>0.14380000000000001</v>
      </c>
      <c r="E50" s="38">
        <v>0.14069999999999999</v>
      </c>
      <c r="F50" s="38">
        <v>0.13250000000000001</v>
      </c>
      <c r="G50" s="38">
        <v>0.13070000000000001</v>
      </c>
      <c r="H50" s="38">
        <v>0.1232</v>
      </c>
      <c r="I50" s="38">
        <v>8.5000000000000006E-2</v>
      </c>
      <c r="J50" s="38">
        <v>8.6300000000000002E-2</v>
      </c>
      <c r="K50" s="38">
        <v>8.9300000000000004E-2</v>
      </c>
      <c r="L50" s="38">
        <v>8.6499999999999994E-2</v>
      </c>
      <c r="M50" s="38">
        <v>8.7900000000000006E-2</v>
      </c>
      <c r="N50" s="38">
        <v>8.8900000000000007E-2</v>
      </c>
      <c r="P50" s="38">
        <v>0.14460000000000001</v>
      </c>
      <c r="Q50" s="38">
        <v>0.16300000000000001</v>
      </c>
      <c r="R50" s="38">
        <v>0.153</v>
      </c>
      <c r="S50" s="38">
        <v>0.1459</v>
      </c>
      <c r="T50" s="38">
        <v>0.14050000000000001</v>
      </c>
      <c r="U50" s="38">
        <v>0.13669999999999999</v>
      </c>
      <c r="V50" s="38">
        <v>0.106</v>
      </c>
      <c r="W50" s="38">
        <v>0.1074</v>
      </c>
      <c r="X50" s="38">
        <v>0.1109</v>
      </c>
      <c r="Y50" s="38">
        <v>0.1077</v>
      </c>
      <c r="Z50" s="38">
        <v>0.1099</v>
      </c>
      <c r="AA50" s="38">
        <v>0.10920000000000001</v>
      </c>
    </row>
    <row r="51" spans="2:27" x14ac:dyDescent="0.2">
      <c r="B51" s="38">
        <f>B50*2</f>
        <v>4</v>
      </c>
      <c r="C51" s="38">
        <v>7.7499999999999999E-2</v>
      </c>
      <c r="D51" s="38">
        <v>8.0799999999999997E-2</v>
      </c>
      <c r="E51" s="38">
        <v>7.7799999999999994E-2</v>
      </c>
      <c r="F51" s="38">
        <v>7.6399999999999996E-2</v>
      </c>
      <c r="G51" s="38">
        <v>7.6200000000000004E-2</v>
      </c>
      <c r="H51" s="38">
        <v>7.2599999999999998E-2</v>
      </c>
      <c r="I51" s="38">
        <v>5.3999999999999999E-2</v>
      </c>
      <c r="J51" s="38">
        <v>5.5199999999999999E-2</v>
      </c>
      <c r="K51" s="38">
        <v>5.7000000000000002E-2</v>
      </c>
      <c r="L51" s="38">
        <v>5.5899999999999998E-2</v>
      </c>
      <c r="M51" s="38">
        <v>5.6500000000000002E-2</v>
      </c>
      <c r="N51" s="38">
        <v>5.6000000000000001E-2</v>
      </c>
      <c r="P51" s="38">
        <v>8.3699999999999997E-2</v>
      </c>
      <c r="Q51" s="38">
        <v>8.8300000000000003E-2</v>
      </c>
      <c r="R51" s="38">
        <v>8.3400000000000002E-2</v>
      </c>
      <c r="S51" s="38">
        <v>8.3299999999999999E-2</v>
      </c>
      <c r="T51" s="38">
        <v>8.3599999999999994E-2</v>
      </c>
      <c r="U51" s="38">
        <v>7.8100000000000003E-2</v>
      </c>
      <c r="V51" s="38">
        <v>6.3E-2</v>
      </c>
      <c r="W51" s="38">
        <v>6.4399999999999999E-2</v>
      </c>
      <c r="X51" s="38">
        <v>6.6000000000000003E-2</v>
      </c>
      <c r="Y51" s="38">
        <v>6.59E-2</v>
      </c>
      <c r="Z51" s="38">
        <v>6.5699999999999995E-2</v>
      </c>
      <c r="AA51" s="38">
        <v>6.5500000000000003E-2</v>
      </c>
    </row>
    <row r="52" spans="2:27" x14ac:dyDescent="0.2">
      <c r="B52" s="38">
        <f>B51*2</f>
        <v>8</v>
      </c>
      <c r="C52" s="38">
        <v>5.28E-2</v>
      </c>
      <c r="D52" s="38">
        <v>5.3999999999999999E-2</v>
      </c>
      <c r="E52" s="38">
        <v>5.2499999999999998E-2</v>
      </c>
      <c r="F52" s="38">
        <v>5.3100000000000001E-2</v>
      </c>
      <c r="G52" s="38">
        <v>5.2900000000000003E-2</v>
      </c>
      <c r="H52" s="38">
        <v>4.9799999999999997E-2</v>
      </c>
      <c r="I52" s="38">
        <v>4.0899999999999999E-2</v>
      </c>
      <c r="J52" s="38">
        <v>4.1200000000000001E-2</v>
      </c>
      <c r="K52" s="38">
        <v>4.24E-2</v>
      </c>
      <c r="L52" s="38">
        <v>4.24E-2</v>
      </c>
      <c r="M52" s="38">
        <v>4.2999999999999997E-2</v>
      </c>
      <c r="N52" s="38">
        <v>4.2999999999999997E-2</v>
      </c>
      <c r="P52" s="38">
        <v>5.5500000000000001E-2</v>
      </c>
      <c r="Q52" s="38">
        <v>5.62E-2</v>
      </c>
      <c r="R52" s="38">
        <v>5.5599999999999997E-2</v>
      </c>
      <c r="S52" s="38">
        <v>5.5599999999999997E-2</v>
      </c>
      <c r="T52" s="38">
        <v>5.5199999999999999E-2</v>
      </c>
      <c r="U52" s="38">
        <v>5.2299999999999999E-2</v>
      </c>
      <c r="V52" s="38">
        <v>4.48E-2</v>
      </c>
      <c r="W52" s="38">
        <v>4.5600000000000002E-2</v>
      </c>
      <c r="X52" s="38">
        <v>4.5900000000000003E-2</v>
      </c>
      <c r="Y52" s="38">
        <v>4.7199999999999999E-2</v>
      </c>
      <c r="Z52" s="38">
        <v>4.7500000000000001E-2</v>
      </c>
      <c r="AA52" s="38">
        <v>4.5699999999999998E-2</v>
      </c>
    </row>
    <row r="53" spans="2:27" x14ac:dyDescent="0.2">
      <c r="B53" s="38">
        <f>B52*2</f>
        <v>16</v>
      </c>
      <c r="C53" s="38">
        <v>4.2599999999999999E-2</v>
      </c>
      <c r="D53" s="38">
        <v>4.1399999999999999E-2</v>
      </c>
      <c r="E53" s="38">
        <v>4.1300000000000003E-2</v>
      </c>
      <c r="F53" s="38">
        <v>4.07E-2</v>
      </c>
      <c r="G53" s="38">
        <v>4.1099999999999998E-2</v>
      </c>
      <c r="H53" s="38">
        <v>4.0899999999999999E-2</v>
      </c>
      <c r="I53" s="38">
        <v>3.7600000000000001E-2</v>
      </c>
      <c r="J53" s="38">
        <v>3.7100000000000001E-2</v>
      </c>
      <c r="K53" s="38">
        <v>3.6600000000000001E-2</v>
      </c>
      <c r="L53" s="38">
        <v>3.6299999999999999E-2</v>
      </c>
      <c r="M53" s="38">
        <v>3.78E-2</v>
      </c>
      <c r="N53" s="38">
        <v>3.61E-2</v>
      </c>
      <c r="P53" s="38">
        <v>4.2999999999999997E-2</v>
      </c>
      <c r="Q53" s="38">
        <v>4.2799999999999998E-2</v>
      </c>
      <c r="R53" s="38">
        <v>4.19E-2</v>
      </c>
      <c r="S53" s="38">
        <v>4.1399999999999999E-2</v>
      </c>
      <c r="T53" s="38">
        <v>4.1700000000000001E-2</v>
      </c>
      <c r="U53" s="38">
        <v>4.1700000000000001E-2</v>
      </c>
      <c r="V53" s="38">
        <v>3.9399999999999998E-2</v>
      </c>
      <c r="W53" s="38">
        <v>4.0399999999999998E-2</v>
      </c>
      <c r="X53" s="38">
        <v>3.8399999999999997E-2</v>
      </c>
      <c r="Y53" s="38">
        <v>3.7600000000000001E-2</v>
      </c>
      <c r="Z53" s="38">
        <v>3.95E-2</v>
      </c>
      <c r="AA53" s="38">
        <v>3.8100000000000002E-2</v>
      </c>
    </row>
    <row r="54" spans="2:27" x14ac:dyDescent="0.2">
      <c r="B54" s="38">
        <f>B53*2</f>
        <v>32</v>
      </c>
      <c r="C54" s="38">
        <v>3.8100000000000002E-2</v>
      </c>
      <c r="D54" s="38">
        <v>3.8600000000000002E-2</v>
      </c>
      <c r="E54" s="38">
        <v>3.7999999999999999E-2</v>
      </c>
      <c r="F54" s="38">
        <v>3.9E-2</v>
      </c>
      <c r="G54" s="38">
        <v>3.7900000000000003E-2</v>
      </c>
      <c r="H54" s="38">
        <v>3.7900000000000003E-2</v>
      </c>
      <c r="I54" s="38">
        <v>3.5200000000000002E-2</v>
      </c>
      <c r="J54" s="38">
        <v>3.8100000000000002E-2</v>
      </c>
      <c r="K54" s="38">
        <v>3.5799999999999998E-2</v>
      </c>
      <c r="L54" s="38">
        <v>3.5900000000000001E-2</v>
      </c>
      <c r="M54" s="38">
        <v>3.6200000000000003E-2</v>
      </c>
      <c r="N54" s="38">
        <v>3.6299999999999999E-2</v>
      </c>
      <c r="P54" s="38">
        <v>3.7999999999999999E-2</v>
      </c>
      <c r="Q54" s="38">
        <v>3.9100000000000003E-2</v>
      </c>
      <c r="R54" s="38">
        <v>3.7999999999999999E-2</v>
      </c>
      <c r="S54" s="38">
        <v>3.85E-2</v>
      </c>
      <c r="T54" s="38">
        <v>3.7600000000000001E-2</v>
      </c>
      <c r="U54" s="38">
        <v>3.8300000000000001E-2</v>
      </c>
      <c r="V54" s="38">
        <v>3.5400000000000001E-2</v>
      </c>
      <c r="W54" s="38">
        <v>3.8300000000000001E-2</v>
      </c>
      <c r="X54" s="38">
        <v>3.5900000000000001E-2</v>
      </c>
      <c r="Y54" s="38">
        <v>3.5400000000000001E-2</v>
      </c>
      <c r="Z54" s="38">
        <v>3.5200000000000002E-2</v>
      </c>
      <c r="AA54" s="38">
        <v>3.5499999999999997E-2</v>
      </c>
    </row>
  </sheetData>
  <pageMargins left="0.75" right="0.75" top="1" bottom="1" header="0.5" footer="0.5"/>
  <pageSetup orientation="portrait" horizontalDpi="300" verticalDpi="300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9"/>
  <sheetViews>
    <sheetView workbookViewId="0">
      <selection activeCell="H24" sqref="H24:H29"/>
    </sheetView>
  </sheetViews>
  <sheetFormatPr defaultColWidth="8.85546875" defaultRowHeight="15" x14ac:dyDescent="0.25"/>
  <cols>
    <col min="2" max="2" width="11.140625" bestFit="1" customWidth="1"/>
    <col min="3" max="3" width="12.42578125" bestFit="1" customWidth="1"/>
    <col min="6" max="6" width="12.85546875" customWidth="1"/>
    <col min="7" max="7" width="12.42578125" bestFit="1" customWidth="1"/>
  </cols>
  <sheetData>
    <row r="2" spans="1:4" x14ac:dyDescent="0.25">
      <c r="A2" t="s">
        <v>234</v>
      </c>
    </row>
    <row r="4" spans="1:4" x14ac:dyDescent="0.25">
      <c r="A4" t="s">
        <v>235</v>
      </c>
    </row>
    <row r="6" spans="1:4" x14ac:dyDescent="0.25">
      <c r="A6" t="s">
        <v>56</v>
      </c>
      <c r="B6" t="s">
        <v>236</v>
      </c>
      <c r="C6" t="s">
        <v>237</v>
      </c>
      <c r="D6" t="s">
        <v>238</v>
      </c>
    </row>
    <row r="7" spans="1:4" x14ac:dyDescent="0.25">
      <c r="A7">
        <v>1</v>
      </c>
      <c r="B7">
        <v>1.22614</v>
      </c>
      <c r="C7">
        <v>1.2302900000000001</v>
      </c>
      <c r="D7">
        <f>(C7-B7)*1000</f>
        <v>4.1500000000000981</v>
      </c>
    </row>
    <row r="8" spans="1:4" x14ac:dyDescent="0.25">
      <c r="A8" s="4">
        <v>2</v>
      </c>
      <c r="B8">
        <v>1.2160899999999999</v>
      </c>
      <c r="C8">
        <v>1.2202299999999999</v>
      </c>
      <c r="D8" s="4">
        <f t="shared" ref="D8:D18" si="0">(C8-B8)*1000</f>
        <v>4.1400000000000325</v>
      </c>
    </row>
    <row r="9" spans="1:4" x14ac:dyDescent="0.25">
      <c r="A9" s="4">
        <v>3</v>
      </c>
      <c r="B9">
        <v>1.2146699999999999</v>
      </c>
      <c r="C9">
        <v>1.2193499999999999</v>
      </c>
      <c r="D9" s="4">
        <f t="shared" si="0"/>
        <v>4.6800000000000175</v>
      </c>
    </row>
    <row r="10" spans="1:4" x14ac:dyDescent="0.25">
      <c r="A10" s="4">
        <v>4</v>
      </c>
      <c r="B10">
        <v>1.22428</v>
      </c>
      <c r="C10">
        <v>1.2287699999999999</v>
      </c>
      <c r="D10" s="4">
        <f t="shared" si="0"/>
        <v>4.489999999999883</v>
      </c>
    </row>
    <row r="11" spans="1:4" x14ac:dyDescent="0.25">
      <c r="A11" s="4">
        <v>5</v>
      </c>
      <c r="B11">
        <v>1.21675</v>
      </c>
      <c r="C11">
        <v>1.2216100000000001</v>
      </c>
      <c r="D11" s="4">
        <f t="shared" si="0"/>
        <v>4.8600000000000865</v>
      </c>
    </row>
    <row r="12" spans="1:4" x14ac:dyDescent="0.25">
      <c r="A12" s="4">
        <v>6</v>
      </c>
      <c r="B12">
        <v>1.2242900000000001</v>
      </c>
      <c r="C12">
        <v>1.2289099999999999</v>
      </c>
      <c r="D12" s="4">
        <f t="shared" si="0"/>
        <v>4.6199999999998465</v>
      </c>
    </row>
    <row r="13" spans="1:4" x14ac:dyDescent="0.25">
      <c r="A13" s="4">
        <v>7</v>
      </c>
      <c r="B13">
        <v>1.22719</v>
      </c>
      <c r="C13">
        <v>1.22848</v>
      </c>
      <c r="D13" s="4">
        <f t="shared" si="0"/>
        <v>1.2900000000000134</v>
      </c>
    </row>
    <row r="14" spans="1:4" x14ac:dyDescent="0.25">
      <c r="A14" s="4">
        <v>8</v>
      </c>
      <c r="B14">
        <v>1.21949</v>
      </c>
      <c r="C14">
        <v>1.2207399999999999</v>
      </c>
      <c r="D14" s="4">
        <f t="shared" si="0"/>
        <v>1.2499999999999734</v>
      </c>
    </row>
    <row r="15" spans="1:4" x14ac:dyDescent="0.25">
      <c r="A15" s="4">
        <v>9</v>
      </c>
      <c r="B15">
        <v>1.2269600000000001</v>
      </c>
      <c r="C15">
        <v>1.2281899999999999</v>
      </c>
      <c r="D15" s="4">
        <f t="shared" si="0"/>
        <v>1.2299999999998423</v>
      </c>
    </row>
    <row r="16" spans="1:4" x14ac:dyDescent="0.25">
      <c r="A16" s="4">
        <v>10</v>
      </c>
      <c r="B16">
        <v>1.22262</v>
      </c>
      <c r="C16">
        <v>1.2237899999999999</v>
      </c>
      <c r="D16" s="4">
        <f t="shared" si="0"/>
        <v>1.1699999999998933</v>
      </c>
    </row>
    <row r="17" spans="1:8" x14ac:dyDescent="0.25">
      <c r="A17" s="4">
        <v>11</v>
      </c>
      <c r="B17">
        <v>1.2164699999999999</v>
      </c>
      <c r="C17">
        <v>1.2176800000000001</v>
      </c>
      <c r="D17" s="4">
        <f t="shared" si="0"/>
        <v>1.2100000000001554</v>
      </c>
    </row>
    <row r="18" spans="1:8" x14ac:dyDescent="0.25">
      <c r="A18" s="4">
        <v>12</v>
      </c>
      <c r="B18">
        <v>1.2271399999999999</v>
      </c>
      <c r="C18">
        <v>1.22828</v>
      </c>
      <c r="D18" s="4">
        <f t="shared" si="0"/>
        <v>1.1400000000001409</v>
      </c>
    </row>
    <row r="20" spans="1:8" x14ac:dyDescent="0.25">
      <c r="A20" t="s">
        <v>239</v>
      </c>
    </row>
    <row r="22" spans="1:8" s="4" customFormat="1" x14ac:dyDescent="0.25">
      <c r="B22" s="4" t="s">
        <v>240</v>
      </c>
      <c r="F22" s="4" t="s">
        <v>241</v>
      </c>
    </row>
    <row r="23" spans="1:8" x14ac:dyDescent="0.25">
      <c r="A23" t="s">
        <v>56</v>
      </c>
      <c r="B23" t="s">
        <v>236</v>
      </c>
      <c r="C23" t="s">
        <v>237</v>
      </c>
      <c r="D23" t="s">
        <v>238</v>
      </c>
      <c r="F23" s="4" t="s">
        <v>236</v>
      </c>
      <c r="G23" s="4" t="s">
        <v>237</v>
      </c>
      <c r="H23" s="4" t="s">
        <v>238</v>
      </c>
    </row>
    <row r="24" spans="1:8" x14ac:dyDescent="0.25">
      <c r="A24">
        <v>1</v>
      </c>
      <c r="B24">
        <v>1.1873100000000001</v>
      </c>
      <c r="C24">
        <v>1.19242</v>
      </c>
      <c r="D24" s="2">
        <f t="shared" ref="D24:D29" si="1">(C24-B24)*1000</f>
        <v>5.1099999999999479</v>
      </c>
      <c r="F24">
        <v>1.18753</v>
      </c>
      <c r="G24">
        <v>1.1924300000000001</v>
      </c>
      <c r="H24" s="2">
        <f t="shared" ref="H24:H29" si="2">(G24-F24)*1000</f>
        <v>4.9000000000001265</v>
      </c>
    </row>
    <row r="25" spans="1:8" x14ac:dyDescent="0.25">
      <c r="A25">
        <v>2</v>
      </c>
      <c r="B25">
        <v>1.18804</v>
      </c>
      <c r="C25">
        <v>1.19309</v>
      </c>
      <c r="D25" s="2">
        <f t="shared" si="1"/>
        <v>5.0499999999999989</v>
      </c>
      <c r="F25">
        <v>1.18587</v>
      </c>
      <c r="G25">
        <v>1.1909000000000001</v>
      </c>
      <c r="H25" s="2">
        <f t="shared" si="2"/>
        <v>5.03000000000009</v>
      </c>
    </row>
    <row r="26" spans="1:8" x14ac:dyDescent="0.25">
      <c r="A26">
        <v>3</v>
      </c>
      <c r="B26">
        <v>1.1775599999999999</v>
      </c>
      <c r="C26">
        <v>1.18258</v>
      </c>
      <c r="D26" s="2">
        <f t="shared" si="1"/>
        <v>5.0200000000000244</v>
      </c>
      <c r="F26">
        <v>1.1833800000000001</v>
      </c>
      <c r="G26">
        <v>1.1883600000000001</v>
      </c>
      <c r="H26" s="2">
        <f t="shared" si="2"/>
        <v>4.9799999999999844</v>
      </c>
    </row>
    <row r="27" spans="1:8" x14ac:dyDescent="0.25">
      <c r="A27">
        <v>7</v>
      </c>
      <c r="B27">
        <v>1.18391</v>
      </c>
      <c r="C27">
        <v>1.1884399999999999</v>
      </c>
      <c r="D27" s="2">
        <f t="shared" si="1"/>
        <v>4.529999999999923</v>
      </c>
      <c r="F27">
        <v>1.1763600000000001</v>
      </c>
      <c r="G27">
        <v>1.1812</v>
      </c>
      <c r="H27" s="2">
        <f t="shared" si="2"/>
        <v>4.8399999999999554</v>
      </c>
    </row>
    <row r="28" spans="1:8" x14ac:dyDescent="0.25">
      <c r="A28">
        <v>8</v>
      </c>
      <c r="B28">
        <v>1.17733</v>
      </c>
      <c r="C28">
        <v>1.1821900000000001</v>
      </c>
      <c r="D28" s="2">
        <f t="shared" si="1"/>
        <v>4.8600000000000865</v>
      </c>
      <c r="F28">
        <v>1.18841</v>
      </c>
      <c r="G28">
        <v>1.1934100000000001</v>
      </c>
      <c r="H28" s="2">
        <f t="shared" si="2"/>
        <v>5.0000000000001155</v>
      </c>
    </row>
    <row r="29" spans="1:8" x14ac:dyDescent="0.25">
      <c r="A29">
        <v>9</v>
      </c>
      <c r="B29">
        <v>1.1759900000000001</v>
      </c>
      <c r="C29">
        <v>1.1808399999999999</v>
      </c>
      <c r="D29" s="2">
        <f t="shared" si="1"/>
        <v>4.8499999999997989</v>
      </c>
      <c r="F29">
        <v>1.1890700000000001</v>
      </c>
      <c r="G29">
        <v>1.19398</v>
      </c>
      <c r="H29" s="2">
        <f t="shared" si="2"/>
        <v>4.9099999999999699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 enableFormatConditionsCalculation="0"/>
  <dimension ref="A1:V18"/>
  <sheetViews>
    <sheetView workbookViewId="0">
      <selection activeCell="O20" sqref="O20"/>
    </sheetView>
  </sheetViews>
  <sheetFormatPr defaultColWidth="8.85546875" defaultRowHeight="15" x14ac:dyDescent="0.25"/>
  <cols>
    <col min="1" max="1" width="9.7109375" bestFit="1" customWidth="1"/>
    <col min="20" max="20" width="9.7109375" bestFit="1" customWidth="1"/>
    <col min="21" max="22" width="8.85546875" style="4"/>
  </cols>
  <sheetData>
    <row r="1" spans="1:22" x14ac:dyDescent="0.25">
      <c r="A1" t="s">
        <v>85</v>
      </c>
      <c r="D1" t="s">
        <v>50</v>
      </c>
      <c r="J1" t="s">
        <v>218</v>
      </c>
    </row>
    <row r="2" spans="1:22" x14ac:dyDescent="0.25">
      <c r="A2" s="9" t="s">
        <v>12</v>
      </c>
      <c r="B2" s="9" t="s">
        <v>13</v>
      </c>
      <c r="C2" s="9" t="s">
        <v>37</v>
      </c>
      <c r="D2" s="9" t="s">
        <v>38</v>
      </c>
      <c r="E2" s="9" t="s">
        <v>39</v>
      </c>
      <c r="F2" s="9" t="s">
        <v>40</v>
      </c>
      <c r="G2" s="9" t="s">
        <v>41</v>
      </c>
      <c r="H2" s="9" t="s">
        <v>42</v>
      </c>
      <c r="I2" s="9" t="s">
        <v>43</v>
      </c>
      <c r="J2" s="9" t="s">
        <v>44</v>
      </c>
      <c r="K2" s="9" t="s">
        <v>45</v>
      </c>
      <c r="L2" s="9" t="s">
        <v>46</v>
      </c>
      <c r="M2" s="9" t="s">
        <v>47</v>
      </c>
      <c r="N2" s="9" t="s">
        <v>48</v>
      </c>
      <c r="O2" s="9" t="s">
        <v>49</v>
      </c>
      <c r="U2" s="9"/>
      <c r="V2" s="9"/>
    </row>
    <row r="3" spans="1:22" x14ac:dyDescent="0.25">
      <c r="A3" s="20">
        <v>41745</v>
      </c>
      <c r="B3" s="29">
        <v>0.45833333333333331</v>
      </c>
      <c r="C3" s="11">
        <v>0</v>
      </c>
      <c r="D3" s="7">
        <v>7</v>
      </c>
      <c r="E3">
        <v>7</v>
      </c>
      <c r="F3">
        <v>7</v>
      </c>
      <c r="G3" s="7">
        <v>7</v>
      </c>
      <c r="H3">
        <v>7</v>
      </c>
      <c r="I3">
        <v>7</v>
      </c>
      <c r="J3" s="7">
        <v>7</v>
      </c>
      <c r="K3">
        <v>7</v>
      </c>
      <c r="L3">
        <v>7</v>
      </c>
      <c r="M3" s="7">
        <v>7</v>
      </c>
      <c r="N3">
        <v>7</v>
      </c>
      <c r="O3">
        <v>7</v>
      </c>
      <c r="T3" s="6"/>
      <c r="U3" s="31"/>
    </row>
    <row r="4" spans="1:22" x14ac:dyDescent="0.25">
      <c r="A4" s="20">
        <v>41746</v>
      </c>
      <c r="B4" s="29">
        <v>0.41666666666666669</v>
      </c>
      <c r="C4" s="11">
        <f>C3+B4-B3+24</f>
        <v>23.958333333333332</v>
      </c>
      <c r="D4" s="7">
        <v>7</v>
      </c>
      <c r="E4" s="7">
        <v>7</v>
      </c>
      <c r="F4" s="7">
        <v>7</v>
      </c>
      <c r="G4" s="7">
        <v>7</v>
      </c>
      <c r="H4" s="7">
        <v>7</v>
      </c>
      <c r="I4" s="7">
        <v>7</v>
      </c>
      <c r="J4" s="7">
        <v>7</v>
      </c>
      <c r="K4" s="7">
        <v>7</v>
      </c>
      <c r="L4" s="7">
        <v>7</v>
      </c>
      <c r="M4" s="7">
        <v>7</v>
      </c>
      <c r="N4" s="7">
        <v>7</v>
      </c>
      <c r="O4" s="7">
        <v>7</v>
      </c>
      <c r="P4" t="s">
        <v>205</v>
      </c>
      <c r="T4" s="6"/>
    </row>
    <row r="5" spans="1:22" s="4" customFormat="1" x14ac:dyDescent="0.25">
      <c r="A5" s="20">
        <f>A4</f>
        <v>41746</v>
      </c>
      <c r="B5" s="29">
        <v>0.4375</v>
      </c>
      <c r="C5" s="11">
        <f>C4+B5-B4</f>
        <v>23.979166666666664</v>
      </c>
      <c r="D5" s="7">
        <v>7</v>
      </c>
      <c r="E5" s="7">
        <v>7</v>
      </c>
      <c r="F5" s="7">
        <v>7</v>
      </c>
      <c r="G5" s="7">
        <v>7</v>
      </c>
      <c r="H5" s="7">
        <v>7</v>
      </c>
      <c r="I5" s="7">
        <v>7</v>
      </c>
      <c r="J5" s="7">
        <v>7</v>
      </c>
      <c r="K5" s="7">
        <v>7</v>
      </c>
      <c r="L5" s="7">
        <v>7</v>
      </c>
      <c r="M5" s="7">
        <v>7</v>
      </c>
      <c r="N5" s="7">
        <v>7</v>
      </c>
      <c r="O5" s="7">
        <v>7</v>
      </c>
      <c r="T5" s="6"/>
    </row>
    <row r="6" spans="1:22" x14ac:dyDescent="0.25">
      <c r="A6" s="20">
        <v>41747</v>
      </c>
      <c r="B6" s="29">
        <f>'Summary OD'!B7</f>
        <v>0.45833333333333331</v>
      </c>
      <c r="C6" s="11">
        <f t="shared" ref="C6" si="0">C4+B6-B4+24</f>
        <v>48</v>
      </c>
      <c r="D6" s="7">
        <v>5</v>
      </c>
      <c r="E6" s="7">
        <v>5</v>
      </c>
      <c r="F6" s="7">
        <v>5</v>
      </c>
      <c r="G6" s="7">
        <v>5</v>
      </c>
      <c r="H6" s="7">
        <v>5</v>
      </c>
      <c r="I6" s="7">
        <v>5</v>
      </c>
      <c r="J6" s="7">
        <v>7</v>
      </c>
      <c r="K6" s="7">
        <v>7</v>
      </c>
      <c r="L6" s="7">
        <v>7</v>
      </c>
      <c r="M6" s="7">
        <v>7</v>
      </c>
      <c r="N6" s="7">
        <v>7</v>
      </c>
      <c r="O6" s="7">
        <v>7</v>
      </c>
      <c r="P6" s="4" t="s">
        <v>227</v>
      </c>
      <c r="T6" s="6"/>
    </row>
    <row r="7" spans="1:22" s="4" customFormat="1" x14ac:dyDescent="0.25">
      <c r="A7" s="20">
        <f>A6</f>
        <v>41747</v>
      </c>
      <c r="B7" s="29">
        <v>0.47916666666666669</v>
      </c>
      <c r="C7" s="11">
        <f>C6+B7-B6</f>
        <v>48.020833333333329</v>
      </c>
      <c r="D7" s="7">
        <v>7</v>
      </c>
      <c r="E7" s="7">
        <v>7</v>
      </c>
      <c r="F7" s="7">
        <v>7</v>
      </c>
      <c r="G7" s="7">
        <v>7</v>
      </c>
      <c r="H7" s="7">
        <v>7</v>
      </c>
      <c r="I7" s="7">
        <v>7</v>
      </c>
      <c r="J7" s="7">
        <v>7</v>
      </c>
      <c r="K7" s="7">
        <v>7</v>
      </c>
      <c r="L7" s="7">
        <v>7</v>
      </c>
      <c r="M7" s="7">
        <v>7</v>
      </c>
      <c r="N7" s="7">
        <v>7</v>
      </c>
      <c r="O7" s="7">
        <v>7</v>
      </c>
      <c r="T7" s="6"/>
    </row>
    <row r="8" spans="1:22" x14ac:dyDescent="0.25">
      <c r="A8" s="20">
        <v>41748</v>
      </c>
      <c r="B8" s="29">
        <f>'Summary OD'!B8</f>
        <v>0.4375</v>
      </c>
      <c r="C8" s="11">
        <f>C6+B8-B6+24</f>
        <v>71.979166666666657</v>
      </c>
      <c r="D8" s="7">
        <v>6</v>
      </c>
      <c r="E8" s="7">
        <v>6</v>
      </c>
      <c r="F8" s="7">
        <v>6</v>
      </c>
      <c r="G8" s="7">
        <v>6</v>
      </c>
      <c r="H8" s="7">
        <v>6</v>
      </c>
      <c r="I8" s="7">
        <v>6</v>
      </c>
      <c r="J8" s="7">
        <v>7</v>
      </c>
      <c r="K8" s="7">
        <v>7</v>
      </c>
      <c r="L8" s="7">
        <v>7</v>
      </c>
      <c r="M8" s="7">
        <v>7</v>
      </c>
      <c r="N8" s="7">
        <v>7</v>
      </c>
      <c r="O8" s="7">
        <v>7</v>
      </c>
      <c r="P8" t="s">
        <v>228</v>
      </c>
      <c r="T8" s="6"/>
      <c r="U8" s="31"/>
    </row>
    <row r="9" spans="1:22" s="4" customFormat="1" x14ac:dyDescent="0.25">
      <c r="A9" s="20">
        <f>A8</f>
        <v>41748</v>
      </c>
      <c r="B9" s="29">
        <v>0.64583333333333337</v>
      </c>
      <c r="C9" s="11">
        <f>C7+B9-B7+24</f>
        <v>72.1875</v>
      </c>
      <c r="D9" s="7">
        <v>7</v>
      </c>
      <c r="E9" s="7">
        <v>7</v>
      </c>
      <c r="F9" s="7">
        <v>7</v>
      </c>
      <c r="G9" s="7">
        <v>7</v>
      </c>
      <c r="H9" s="7">
        <v>7</v>
      </c>
      <c r="I9" s="7">
        <v>7</v>
      </c>
      <c r="J9" s="7">
        <v>7</v>
      </c>
      <c r="K9" s="7">
        <v>7</v>
      </c>
      <c r="L9" s="7">
        <v>7</v>
      </c>
      <c r="M9" s="7">
        <v>7</v>
      </c>
      <c r="N9" s="7">
        <v>7</v>
      </c>
      <c r="O9" s="7">
        <v>7</v>
      </c>
      <c r="T9" s="6"/>
    </row>
    <row r="10" spans="1:22" x14ac:dyDescent="0.25">
      <c r="A10" s="20">
        <v>41665</v>
      </c>
      <c r="B10" s="29">
        <f>'Summary OD'!B9</f>
        <v>0.4375</v>
      </c>
      <c r="C10" s="11">
        <f>C8+B10-B8+24</f>
        <v>95.979166666666657</v>
      </c>
      <c r="D10" s="7">
        <v>6.5</v>
      </c>
      <c r="E10" s="7">
        <v>6.5</v>
      </c>
      <c r="F10" s="7">
        <v>6.5</v>
      </c>
      <c r="G10" s="7">
        <v>6.5</v>
      </c>
      <c r="H10" s="7">
        <v>6.5</v>
      </c>
      <c r="I10" s="7">
        <v>6.5</v>
      </c>
      <c r="J10" s="7">
        <v>7</v>
      </c>
      <c r="K10" s="7">
        <v>7</v>
      </c>
      <c r="L10" s="7">
        <v>7</v>
      </c>
      <c r="M10" s="7">
        <v>7</v>
      </c>
      <c r="N10" s="7">
        <v>7</v>
      </c>
      <c r="O10" s="7">
        <v>7</v>
      </c>
      <c r="P10" s="4" t="s">
        <v>229</v>
      </c>
    </row>
    <row r="11" spans="1:22" s="4" customFormat="1" x14ac:dyDescent="0.25">
      <c r="A11" s="20">
        <f>A10</f>
        <v>41665</v>
      </c>
      <c r="B11" s="29">
        <v>0.66666666666666663</v>
      </c>
      <c r="C11" s="11">
        <f>C9+B11-B9+24</f>
        <v>96.208333333333343</v>
      </c>
      <c r="D11" s="7">
        <v>7</v>
      </c>
      <c r="E11" s="7">
        <v>7</v>
      </c>
      <c r="F11" s="7">
        <v>7</v>
      </c>
      <c r="G11" s="7">
        <v>7</v>
      </c>
      <c r="H11" s="7">
        <v>7</v>
      </c>
      <c r="I11" s="7">
        <v>7</v>
      </c>
      <c r="J11" s="7">
        <v>7</v>
      </c>
      <c r="K11" s="7">
        <v>7</v>
      </c>
      <c r="L11" s="7">
        <v>7</v>
      </c>
      <c r="M11" s="7">
        <v>7</v>
      </c>
      <c r="N11" s="7">
        <v>7</v>
      </c>
      <c r="O11" s="7">
        <v>7</v>
      </c>
    </row>
    <row r="12" spans="1:22" s="4" customFormat="1" x14ac:dyDescent="0.25">
      <c r="A12" s="20">
        <v>41666</v>
      </c>
      <c r="B12" s="29">
        <v>0.66666666666666663</v>
      </c>
      <c r="C12" s="11">
        <f>C10+B12-B10+24</f>
        <v>120.20833333333333</v>
      </c>
      <c r="D12" s="7">
        <v>6.5</v>
      </c>
      <c r="E12" s="7">
        <v>6.5</v>
      </c>
      <c r="F12" s="7">
        <v>6.5</v>
      </c>
      <c r="G12" s="7">
        <v>6.5</v>
      </c>
      <c r="H12" s="7">
        <v>6.5</v>
      </c>
      <c r="I12" s="7">
        <v>6.5</v>
      </c>
      <c r="J12" s="7">
        <v>7</v>
      </c>
      <c r="K12" s="7">
        <v>7</v>
      </c>
      <c r="L12" s="7">
        <v>7</v>
      </c>
      <c r="M12" s="7">
        <v>7</v>
      </c>
      <c r="N12" s="7">
        <v>7</v>
      </c>
      <c r="O12" s="7">
        <v>7</v>
      </c>
    </row>
    <row r="13" spans="1:22" x14ac:dyDescent="0.25">
      <c r="A13" s="6"/>
      <c r="B13" s="18"/>
      <c r="C13" s="2"/>
    </row>
    <row r="14" spans="1:22" x14ac:dyDescent="0.25">
      <c r="A14" s="6"/>
    </row>
    <row r="15" spans="1:22" x14ac:dyDescent="0.25">
      <c r="A15" s="6"/>
    </row>
    <row r="18" spans="17:19" x14ac:dyDescent="0.25">
      <c r="Q18" s="4"/>
      <c r="R18" s="4"/>
      <c r="S18" s="4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 enableFormatConditionsCalculation="0"/>
  <dimension ref="A1:U129"/>
  <sheetViews>
    <sheetView tabSelected="1" workbookViewId="0">
      <selection activeCell="K12" sqref="K12"/>
    </sheetView>
  </sheetViews>
  <sheetFormatPr defaultColWidth="8.85546875" defaultRowHeight="15" x14ac:dyDescent="0.25"/>
  <cols>
    <col min="1" max="1" width="14.7109375" customWidth="1"/>
    <col min="2" max="2" width="25.7109375" bestFit="1" customWidth="1"/>
    <col min="3" max="3" width="15.140625" style="23" bestFit="1" customWidth="1"/>
    <col min="4" max="5" width="8.85546875" style="23"/>
  </cols>
  <sheetData>
    <row r="1" spans="1:21" s="4" customFormat="1" x14ac:dyDescent="0.25">
      <c r="A1" s="4" t="s">
        <v>242</v>
      </c>
      <c r="C1" s="23"/>
      <c r="D1" s="23"/>
      <c r="E1" s="23"/>
    </row>
    <row r="2" spans="1:21" s="4" customFormat="1" x14ac:dyDescent="0.25">
      <c r="C2" s="23"/>
      <c r="D2" s="23"/>
      <c r="E2" s="23"/>
    </row>
    <row r="3" spans="1:21" s="4" customFormat="1" x14ac:dyDescent="0.25">
      <c r="A3" s="4" t="s">
        <v>243</v>
      </c>
      <c r="C3" s="23"/>
      <c r="D3" s="23"/>
      <c r="E3" s="23"/>
    </row>
    <row r="4" spans="1:21" s="4" customFormat="1" x14ac:dyDescent="0.25">
      <c r="A4" s="4" t="s">
        <v>248</v>
      </c>
      <c r="C4" s="23"/>
      <c r="D4" s="23"/>
      <c r="E4" s="23"/>
    </row>
    <row r="5" spans="1:21" s="4" customFormat="1" x14ac:dyDescent="0.25">
      <c r="A5" s="4" t="s">
        <v>244</v>
      </c>
      <c r="C5" s="23"/>
      <c r="D5" s="23"/>
      <c r="E5" s="23"/>
    </row>
    <row r="6" spans="1:21" s="4" customFormat="1" x14ac:dyDescent="0.25">
      <c r="A6" s="4" t="s">
        <v>245</v>
      </c>
      <c r="C6" s="23"/>
      <c r="D6" s="23"/>
      <c r="E6" s="23"/>
    </row>
    <row r="7" spans="1:21" s="4" customFormat="1" x14ac:dyDescent="0.25">
      <c r="C7" s="23"/>
      <c r="D7" s="23"/>
      <c r="E7" s="23"/>
    </row>
    <row r="8" spans="1:21" s="4" customFormat="1" x14ac:dyDescent="0.25">
      <c r="A8" s="4" t="s">
        <v>397</v>
      </c>
      <c r="C8" s="23"/>
      <c r="D8" s="23"/>
      <c r="E8" s="23"/>
    </row>
    <row r="9" spans="1:21" s="4" customFormat="1" x14ac:dyDescent="0.25">
      <c r="C9" s="23"/>
      <c r="D9" s="23"/>
      <c r="E9" s="23"/>
    </row>
    <row r="10" spans="1:21" x14ac:dyDescent="0.25">
      <c r="A10" t="s">
        <v>246</v>
      </c>
      <c r="B10" t="s">
        <v>247</v>
      </c>
      <c r="C10" s="23" t="s">
        <v>249</v>
      </c>
      <c r="D10" s="23" t="s">
        <v>250</v>
      </c>
      <c r="E10" s="23" t="s">
        <v>56</v>
      </c>
      <c r="F10" t="s">
        <v>398</v>
      </c>
    </row>
    <row r="11" spans="1:21" x14ac:dyDescent="0.25">
      <c r="A11" s="41" t="s">
        <v>251</v>
      </c>
      <c r="B11" s="41" t="s">
        <v>252</v>
      </c>
      <c r="C11" s="42" t="s">
        <v>253</v>
      </c>
      <c r="D11" s="23">
        <v>1</v>
      </c>
      <c r="E11" s="23">
        <v>1</v>
      </c>
      <c r="F11" s="43">
        <v>9.1936783333333313E-2</v>
      </c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8"/>
      <c r="U11" s="8"/>
    </row>
    <row r="12" spans="1:21" x14ac:dyDescent="0.25">
      <c r="A12" s="41" t="s">
        <v>254</v>
      </c>
      <c r="B12" s="41" t="s">
        <v>325</v>
      </c>
      <c r="C12" s="42" t="s">
        <v>253</v>
      </c>
      <c r="D12" s="23">
        <v>1</v>
      </c>
      <c r="E12" s="23">
        <v>2</v>
      </c>
      <c r="F12" s="43">
        <v>7.8370216666666659E-2</v>
      </c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8"/>
      <c r="U12" s="8"/>
    </row>
    <row r="13" spans="1:21" x14ac:dyDescent="0.25">
      <c r="A13" s="41" t="s">
        <v>255</v>
      </c>
      <c r="B13" s="41" t="s">
        <v>326</v>
      </c>
      <c r="C13" s="42" t="s">
        <v>253</v>
      </c>
      <c r="D13" s="23">
        <v>1</v>
      </c>
      <c r="E13" s="23">
        <v>3</v>
      </c>
      <c r="F13" s="43">
        <v>7.6781566666666662E-2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8"/>
      <c r="U13" s="8"/>
    </row>
    <row r="14" spans="1:21" x14ac:dyDescent="0.25">
      <c r="A14" s="41" t="s">
        <v>256</v>
      </c>
      <c r="B14" s="41" t="s">
        <v>327</v>
      </c>
      <c r="C14" s="42" t="s">
        <v>253</v>
      </c>
      <c r="D14" s="23">
        <v>1</v>
      </c>
      <c r="E14" s="23">
        <v>4</v>
      </c>
      <c r="F14" s="43">
        <v>7.9025849999999981E-2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8"/>
      <c r="U14" s="8"/>
    </row>
    <row r="15" spans="1:21" x14ac:dyDescent="0.25">
      <c r="A15" s="41" t="s">
        <v>257</v>
      </c>
      <c r="B15" s="41" t="s">
        <v>328</v>
      </c>
      <c r="C15" s="42" t="s">
        <v>253</v>
      </c>
      <c r="D15" s="23">
        <v>1</v>
      </c>
      <c r="E15" s="23">
        <v>5</v>
      </c>
      <c r="F15" s="43">
        <v>7.1965183333333321E-2</v>
      </c>
      <c r="G15" t="s">
        <v>399</v>
      </c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8"/>
      <c r="U15" s="8"/>
    </row>
    <row r="16" spans="1:21" x14ac:dyDescent="0.25">
      <c r="A16" s="41" t="s">
        <v>258</v>
      </c>
      <c r="B16" s="41" t="s">
        <v>329</v>
      </c>
      <c r="C16" s="42" t="s">
        <v>253</v>
      </c>
      <c r="D16" s="23">
        <v>1</v>
      </c>
      <c r="E16" s="23">
        <v>6</v>
      </c>
      <c r="F16" s="43">
        <v>7.8042400000000012E-2</v>
      </c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8"/>
      <c r="U16" s="8"/>
    </row>
    <row r="17" spans="1:6" x14ac:dyDescent="0.25">
      <c r="A17" s="41" t="s">
        <v>259</v>
      </c>
      <c r="B17" s="41" t="s">
        <v>330</v>
      </c>
      <c r="C17" s="42" t="s">
        <v>336</v>
      </c>
      <c r="D17" s="23">
        <v>1</v>
      </c>
      <c r="E17" s="23">
        <v>7</v>
      </c>
      <c r="F17" s="43">
        <v>7.4234683333333329E-2</v>
      </c>
    </row>
    <row r="18" spans="1:6" x14ac:dyDescent="0.25">
      <c r="A18" s="41" t="s">
        <v>260</v>
      </c>
      <c r="B18" s="41" t="s">
        <v>331</v>
      </c>
      <c r="C18" s="42" t="s">
        <v>336</v>
      </c>
      <c r="D18" s="23">
        <v>1</v>
      </c>
      <c r="E18" s="23">
        <v>8</v>
      </c>
      <c r="F18" s="43">
        <v>7.779023333333332E-2</v>
      </c>
    </row>
    <row r="19" spans="1:6" x14ac:dyDescent="0.25">
      <c r="A19" s="41" t="s">
        <v>261</v>
      </c>
      <c r="B19" s="41" t="s">
        <v>332</v>
      </c>
      <c r="C19" s="42" t="s">
        <v>336</v>
      </c>
      <c r="D19" s="23">
        <v>1</v>
      </c>
      <c r="E19" s="23">
        <v>9</v>
      </c>
      <c r="F19" s="43">
        <v>7.7689366666666648E-2</v>
      </c>
    </row>
    <row r="20" spans="1:6" x14ac:dyDescent="0.25">
      <c r="A20" s="41" t="s">
        <v>262</v>
      </c>
      <c r="B20" s="41" t="s">
        <v>333</v>
      </c>
      <c r="C20" s="42" t="s">
        <v>336</v>
      </c>
      <c r="D20" s="23">
        <v>1</v>
      </c>
      <c r="E20" s="23">
        <v>10</v>
      </c>
      <c r="F20" s="43">
        <v>7.8319783333333323E-2</v>
      </c>
    </row>
    <row r="21" spans="1:6" x14ac:dyDescent="0.25">
      <c r="A21" s="41" t="s">
        <v>263</v>
      </c>
      <c r="B21" s="41" t="s">
        <v>334</v>
      </c>
      <c r="C21" s="42" t="s">
        <v>336</v>
      </c>
      <c r="D21" s="23">
        <v>1</v>
      </c>
      <c r="E21" s="23">
        <v>11</v>
      </c>
      <c r="F21" s="43">
        <v>8.1648383333333324E-2</v>
      </c>
    </row>
    <row r="22" spans="1:6" x14ac:dyDescent="0.25">
      <c r="A22" s="41" t="s">
        <v>264</v>
      </c>
      <c r="B22" s="41" t="s">
        <v>335</v>
      </c>
      <c r="C22" s="42" t="s">
        <v>336</v>
      </c>
      <c r="D22" s="23">
        <v>1</v>
      </c>
      <c r="E22" s="23">
        <v>12</v>
      </c>
      <c r="F22" s="43">
        <v>7.6378099999999977E-2</v>
      </c>
    </row>
    <row r="23" spans="1:6" x14ac:dyDescent="0.25">
      <c r="A23" s="41" t="s">
        <v>265</v>
      </c>
      <c r="B23" s="41" t="s">
        <v>337</v>
      </c>
      <c r="C23" s="42" t="s">
        <v>253</v>
      </c>
      <c r="D23" s="23">
        <v>2</v>
      </c>
      <c r="E23" s="23">
        <v>1</v>
      </c>
      <c r="F23" s="43">
        <v>0.31108368000000003</v>
      </c>
    </row>
    <row r="24" spans="1:6" x14ac:dyDescent="0.25">
      <c r="A24" s="41" t="s">
        <v>266</v>
      </c>
      <c r="B24" s="41" t="s">
        <v>338</v>
      </c>
      <c r="C24" s="42" t="s">
        <v>253</v>
      </c>
      <c r="D24" s="23">
        <v>2</v>
      </c>
      <c r="E24" s="23">
        <v>2</v>
      </c>
      <c r="F24" s="43">
        <v>0.31607759999999996</v>
      </c>
    </row>
    <row r="25" spans="1:6" x14ac:dyDescent="0.25">
      <c r="A25" s="41" t="s">
        <v>267</v>
      </c>
      <c r="B25" s="41" t="s">
        <v>339</v>
      </c>
      <c r="C25" s="42" t="s">
        <v>253</v>
      </c>
      <c r="D25" s="23">
        <v>2</v>
      </c>
      <c r="E25" s="23">
        <v>3</v>
      </c>
      <c r="F25" s="43">
        <v>0.31681744000000001</v>
      </c>
    </row>
    <row r="26" spans="1:6" x14ac:dyDescent="0.25">
      <c r="A26" s="41" t="s">
        <v>268</v>
      </c>
      <c r="B26" s="41" t="s">
        <v>340</v>
      </c>
      <c r="C26" s="42" t="s">
        <v>253</v>
      </c>
      <c r="D26" s="23">
        <v>2</v>
      </c>
      <c r="E26" s="23">
        <v>4</v>
      </c>
      <c r="F26" s="43">
        <v>0.29961616000000002</v>
      </c>
    </row>
    <row r="27" spans="1:6" x14ac:dyDescent="0.25">
      <c r="A27" s="41" t="s">
        <v>269</v>
      </c>
      <c r="B27" s="41" t="s">
        <v>341</v>
      </c>
      <c r="C27" s="42" t="s">
        <v>253</v>
      </c>
      <c r="D27" s="23">
        <v>2</v>
      </c>
      <c r="E27" s="23">
        <v>5</v>
      </c>
      <c r="F27" s="43">
        <v>0.31062128000000006</v>
      </c>
    </row>
    <row r="28" spans="1:6" x14ac:dyDescent="0.25">
      <c r="A28" s="41" t="s">
        <v>270</v>
      </c>
      <c r="B28" s="41" t="s">
        <v>342</v>
      </c>
      <c r="C28" s="42" t="s">
        <v>253</v>
      </c>
      <c r="D28" s="23">
        <v>2</v>
      </c>
      <c r="E28" s="23">
        <v>6</v>
      </c>
      <c r="F28" s="43">
        <v>0.31302575999999999</v>
      </c>
    </row>
    <row r="29" spans="1:6" x14ac:dyDescent="0.25">
      <c r="A29" s="41" t="s">
        <v>271</v>
      </c>
      <c r="B29" s="41" t="s">
        <v>343</v>
      </c>
      <c r="C29" s="42" t="s">
        <v>336</v>
      </c>
      <c r="D29" s="23">
        <v>2</v>
      </c>
      <c r="E29" s="23">
        <v>7</v>
      </c>
      <c r="F29" s="43">
        <v>7.930323333333332E-2</v>
      </c>
    </row>
    <row r="30" spans="1:6" x14ac:dyDescent="0.25">
      <c r="A30" s="41" t="s">
        <v>272</v>
      </c>
      <c r="B30" s="41" t="s">
        <v>344</v>
      </c>
      <c r="C30" s="42" t="s">
        <v>336</v>
      </c>
      <c r="D30" s="23">
        <v>2</v>
      </c>
      <c r="E30" s="23">
        <v>8</v>
      </c>
      <c r="F30" s="43">
        <v>8.1295350000000002E-2</v>
      </c>
    </row>
    <row r="31" spans="1:6" x14ac:dyDescent="0.25">
      <c r="A31" s="41" t="s">
        <v>273</v>
      </c>
      <c r="B31" s="41" t="s">
        <v>345</v>
      </c>
      <c r="C31" s="42" t="s">
        <v>336</v>
      </c>
      <c r="D31" s="23">
        <v>2</v>
      </c>
      <c r="E31" s="23">
        <v>9</v>
      </c>
      <c r="F31" s="43">
        <v>8.1900549999999975E-2</v>
      </c>
    </row>
    <row r="32" spans="1:6" x14ac:dyDescent="0.25">
      <c r="A32" s="41" t="s">
        <v>274</v>
      </c>
      <c r="B32" s="41" t="s">
        <v>346</v>
      </c>
      <c r="C32" s="42" t="s">
        <v>336</v>
      </c>
      <c r="D32" s="23">
        <v>2</v>
      </c>
      <c r="E32" s="23">
        <v>10</v>
      </c>
      <c r="F32" s="43">
        <v>8.0211033333333306E-2</v>
      </c>
    </row>
    <row r="33" spans="1:6" x14ac:dyDescent="0.25">
      <c r="A33" s="41" t="s">
        <v>275</v>
      </c>
      <c r="B33" s="41" t="s">
        <v>347</v>
      </c>
      <c r="C33" s="42" t="s">
        <v>336</v>
      </c>
      <c r="D33" s="23">
        <v>2</v>
      </c>
      <c r="E33" s="23">
        <v>11</v>
      </c>
      <c r="F33" s="43">
        <v>8.1194483333333331E-2</v>
      </c>
    </row>
    <row r="34" spans="1:6" x14ac:dyDescent="0.25">
      <c r="A34" s="41" t="s">
        <v>276</v>
      </c>
      <c r="B34" s="41" t="s">
        <v>349</v>
      </c>
      <c r="C34" s="42" t="s">
        <v>336</v>
      </c>
      <c r="D34" s="23">
        <v>2</v>
      </c>
      <c r="E34" s="23">
        <v>12</v>
      </c>
      <c r="F34" s="43">
        <v>7.8874550000000002E-2</v>
      </c>
    </row>
    <row r="35" spans="1:6" x14ac:dyDescent="0.25">
      <c r="A35" s="41" t="s">
        <v>277</v>
      </c>
      <c r="B35" s="41" t="s">
        <v>350</v>
      </c>
      <c r="C35" s="42" t="s">
        <v>253</v>
      </c>
      <c r="D35" s="23">
        <v>3</v>
      </c>
      <c r="E35" s="23">
        <v>1</v>
      </c>
      <c r="F35" s="43">
        <v>0.38442032000000004</v>
      </c>
    </row>
    <row r="36" spans="1:6" x14ac:dyDescent="0.25">
      <c r="A36" s="41" t="s">
        <v>278</v>
      </c>
      <c r="B36" s="41" t="s">
        <v>351</v>
      </c>
      <c r="C36" s="42" t="s">
        <v>253</v>
      </c>
      <c r="D36" s="23">
        <v>3</v>
      </c>
      <c r="E36" s="23">
        <v>2</v>
      </c>
      <c r="F36" s="43">
        <v>0.37905648000000003</v>
      </c>
    </row>
    <row r="37" spans="1:6" x14ac:dyDescent="0.25">
      <c r="A37" s="41" t="s">
        <v>279</v>
      </c>
      <c r="B37" s="41" t="s">
        <v>352</v>
      </c>
      <c r="C37" s="42" t="s">
        <v>253</v>
      </c>
      <c r="D37" s="23">
        <v>3</v>
      </c>
      <c r="E37" s="23">
        <v>3</v>
      </c>
      <c r="F37" s="43">
        <v>0.39491680000000001</v>
      </c>
    </row>
    <row r="38" spans="1:6" x14ac:dyDescent="0.25">
      <c r="A38" s="41" t="s">
        <v>280</v>
      </c>
      <c r="B38" s="41" t="s">
        <v>353</v>
      </c>
      <c r="C38" s="42" t="s">
        <v>253</v>
      </c>
      <c r="D38" s="23">
        <v>3</v>
      </c>
      <c r="E38" s="23">
        <v>4</v>
      </c>
      <c r="F38" s="43">
        <v>0.41188688000000001</v>
      </c>
    </row>
    <row r="39" spans="1:6" x14ac:dyDescent="0.25">
      <c r="A39" s="41" t="s">
        <v>281</v>
      </c>
      <c r="B39" s="41" t="s">
        <v>354</v>
      </c>
      <c r="C39" s="42" t="s">
        <v>253</v>
      </c>
      <c r="D39" s="23">
        <v>3</v>
      </c>
      <c r="E39" s="23">
        <v>5</v>
      </c>
      <c r="F39" s="43">
        <v>0.44240527999999996</v>
      </c>
    </row>
    <row r="40" spans="1:6" x14ac:dyDescent="0.25">
      <c r="A40" s="41" t="s">
        <v>282</v>
      </c>
      <c r="B40" s="41" t="s">
        <v>355</v>
      </c>
      <c r="C40" s="42" t="s">
        <v>253</v>
      </c>
      <c r="D40" s="23">
        <v>3</v>
      </c>
      <c r="E40" s="23">
        <v>6</v>
      </c>
      <c r="F40" s="43">
        <v>0.38719471999999994</v>
      </c>
    </row>
    <row r="41" spans="1:6" x14ac:dyDescent="0.25">
      <c r="A41" s="41" t="s">
        <v>283</v>
      </c>
      <c r="B41" s="41" t="s">
        <v>356</v>
      </c>
      <c r="C41" s="42" t="s">
        <v>336</v>
      </c>
      <c r="D41" s="23">
        <v>3</v>
      </c>
      <c r="E41" s="23">
        <v>7</v>
      </c>
      <c r="F41" s="43">
        <v>8.6918666666666658E-2</v>
      </c>
    </row>
    <row r="42" spans="1:6" x14ac:dyDescent="0.25">
      <c r="A42" s="41" t="s">
        <v>284</v>
      </c>
      <c r="B42" s="41" t="s">
        <v>357</v>
      </c>
      <c r="C42" s="42" t="s">
        <v>336</v>
      </c>
      <c r="D42" s="23">
        <v>3</v>
      </c>
      <c r="E42" s="23">
        <v>8</v>
      </c>
      <c r="F42" s="43">
        <v>8.9036866666666659E-2</v>
      </c>
    </row>
    <row r="43" spans="1:6" x14ac:dyDescent="0.25">
      <c r="A43" s="41" t="s">
        <v>285</v>
      </c>
      <c r="B43" s="41" t="s">
        <v>358</v>
      </c>
      <c r="C43" s="42" t="s">
        <v>336</v>
      </c>
      <c r="D43" s="23">
        <v>3</v>
      </c>
      <c r="E43" s="23">
        <v>9</v>
      </c>
      <c r="F43" s="43">
        <v>8.0891883333333317E-2</v>
      </c>
    </row>
    <row r="44" spans="1:6" x14ac:dyDescent="0.25">
      <c r="A44" s="41" t="s">
        <v>286</v>
      </c>
      <c r="B44" s="41" t="s">
        <v>359</v>
      </c>
      <c r="C44" s="42" t="s">
        <v>336</v>
      </c>
      <c r="D44" s="23">
        <v>3</v>
      </c>
      <c r="E44" s="23">
        <v>10</v>
      </c>
      <c r="F44" s="43">
        <v>8.2934433333333321E-2</v>
      </c>
    </row>
    <row r="45" spans="1:6" x14ac:dyDescent="0.25">
      <c r="A45" s="41" t="s">
        <v>287</v>
      </c>
      <c r="B45" s="41" t="s">
        <v>360</v>
      </c>
      <c r="C45" s="42" t="s">
        <v>336</v>
      </c>
      <c r="D45" s="23">
        <v>3</v>
      </c>
      <c r="E45" s="23">
        <v>11</v>
      </c>
      <c r="F45" s="43">
        <v>8.5279583333333311E-2</v>
      </c>
    </row>
    <row r="46" spans="1:6" x14ac:dyDescent="0.25">
      <c r="A46" s="41" t="s">
        <v>288</v>
      </c>
      <c r="B46" s="41" t="s">
        <v>348</v>
      </c>
      <c r="C46" s="42" t="s">
        <v>336</v>
      </c>
      <c r="D46" s="23">
        <v>3</v>
      </c>
      <c r="E46" s="23">
        <v>12</v>
      </c>
      <c r="F46" s="43">
        <v>8.2102283333333317E-2</v>
      </c>
    </row>
    <row r="47" spans="1:6" x14ac:dyDescent="0.25">
      <c r="A47" s="41" t="s">
        <v>289</v>
      </c>
      <c r="B47" s="41" t="s">
        <v>361</v>
      </c>
      <c r="C47" s="42" t="s">
        <v>253</v>
      </c>
      <c r="D47" s="23">
        <v>4</v>
      </c>
      <c r="E47" s="23">
        <v>1</v>
      </c>
      <c r="F47" s="43">
        <v>0.42210592000000002</v>
      </c>
    </row>
    <row r="48" spans="1:6" x14ac:dyDescent="0.25">
      <c r="A48" s="41" t="s">
        <v>290</v>
      </c>
      <c r="B48" s="41" t="s">
        <v>362</v>
      </c>
      <c r="C48" s="42" t="s">
        <v>253</v>
      </c>
      <c r="D48" s="23">
        <v>4</v>
      </c>
      <c r="E48" s="23">
        <v>2</v>
      </c>
      <c r="F48" s="43">
        <v>0.44023200000000007</v>
      </c>
    </row>
    <row r="49" spans="1:6" x14ac:dyDescent="0.25">
      <c r="A49" s="41" t="s">
        <v>291</v>
      </c>
      <c r="B49" s="41" t="s">
        <v>363</v>
      </c>
      <c r="C49" s="42" t="s">
        <v>253</v>
      </c>
      <c r="D49" s="23">
        <v>4</v>
      </c>
      <c r="E49" s="23">
        <v>3</v>
      </c>
      <c r="F49" s="43">
        <v>0.41350528000000009</v>
      </c>
    </row>
    <row r="50" spans="1:6" x14ac:dyDescent="0.25">
      <c r="A50" s="41" t="s">
        <v>292</v>
      </c>
      <c r="B50" s="41" t="s">
        <v>364</v>
      </c>
      <c r="C50" s="42" t="s">
        <v>253</v>
      </c>
      <c r="D50" s="23">
        <v>4</v>
      </c>
      <c r="E50" s="23">
        <v>4</v>
      </c>
      <c r="F50" s="43">
        <v>0.42571263999999998</v>
      </c>
    </row>
    <row r="51" spans="1:6" x14ac:dyDescent="0.25">
      <c r="A51" s="41" t="s">
        <v>293</v>
      </c>
      <c r="B51" s="41" t="s">
        <v>365</v>
      </c>
      <c r="C51" s="42" t="s">
        <v>253</v>
      </c>
      <c r="D51" s="23">
        <v>4</v>
      </c>
      <c r="E51" s="23">
        <v>5</v>
      </c>
      <c r="F51" s="43">
        <v>0.40851135999999999</v>
      </c>
    </row>
    <row r="52" spans="1:6" x14ac:dyDescent="0.25">
      <c r="A52" s="41" t="s">
        <v>294</v>
      </c>
      <c r="B52" s="41" t="s">
        <v>366</v>
      </c>
      <c r="C52" s="42" t="s">
        <v>253</v>
      </c>
      <c r="D52" s="23">
        <v>4</v>
      </c>
      <c r="E52" s="23">
        <v>6</v>
      </c>
      <c r="F52" s="43">
        <v>0.41697328</v>
      </c>
    </row>
    <row r="53" spans="1:6" x14ac:dyDescent="0.25">
      <c r="A53" s="41" t="s">
        <v>295</v>
      </c>
      <c r="B53" s="41" t="s">
        <v>367</v>
      </c>
      <c r="C53" s="42" t="s">
        <v>336</v>
      </c>
      <c r="D53" s="23">
        <v>4</v>
      </c>
      <c r="E53" s="23">
        <v>7</v>
      </c>
      <c r="F53" s="43">
        <v>9.0448999999999988E-2</v>
      </c>
    </row>
    <row r="54" spans="1:6" x14ac:dyDescent="0.25">
      <c r="A54" s="41" t="s">
        <v>296</v>
      </c>
      <c r="B54" s="41" t="s">
        <v>368</v>
      </c>
      <c r="C54" s="42" t="s">
        <v>336</v>
      </c>
      <c r="D54" s="23">
        <v>4</v>
      </c>
      <c r="E54" s="23">
        <v>8</v>
      </c>
      <c r="F54" s="43">
        <v>9.0247266666666673E-2</v>
      </c>
    </row>
    <row r="55" spans="1:6" x14ac:dyDescent="0.25">
      <c r="A55" s="41" t="s">
        <v>297</v>
      </c>
      <c r="B55" s="41" t="s">
        <v>369</v>
      </c>
      <c r="C55" s="42" t="s">
        <v>336</v>
      </c>
      <c r="D55" s="23">
        <v>4</v>
      </c>
      <c r="E55" s="23">
        <v>9</v>
      </c>
      <c r="F55" s="43">
        <v>8.5809133333333329E-2</v>
      </c>
    </row>
    <row r="56" spans="1:6" x14ac:dyDescent="0.25">
      <c r="A56" s="41" t="s">
        <v>298</v>
      </c>
      <c r="B56" s="41" t="s">
        <v>370</v>
      </c>
      <c r="C56" s="42" t="s">
        <v>336</v>
      </c>
      <c r="D56" s="23">
        <v>4</v>
      </c>
      <c r="E56" s="23">
        <v>10</v>
      </c>
      <c r="F56" s="43">
        <v>8.974293333333333E-2</v>
      </c>
    </row>
    <row r="57" spans="1:6" x14ac:dyDescent="0.25">
      <c r="A57" s="41" t="s">
        <v>299</v>
      </c>
      <c r="B57" s="41" t="s">
        <v>371</v>
      </c>
      <c r="C57" s="42" t="s">
        <v>336</v>
      </c>
      <c r="D57" s="23">
        <v>4</v>
      </c>
      <c r="E57" s="23">
        <v>11</v>
      </c>
      <c r="F57" s="43">
        <v>8.9364683333333306E-2</v>
      </c>
    </row>
    <row r="58" spans="1:6" x14ac:dyDescent="0.25">
      <c r="A58" s="41" t="s">
        <v>300</v>
      </c>
      <c r="B58" s="41" t="s">
        <v>372</v>
      </c>
      <c r="C58" s="42" t="s">
        <v>336</v>
      </c>
      <c r="D58" s="23">
        <v>4</v>
      </c>
      <c r="E58" s="23">
        <v>12</v>
      </c>
      <c r="F58" s="43">
        <v>8.9465549999999991E-2</v>
      </c>
    </row>
    <row r="59" spans="1:6" x14ac:dyDescent="0.25">
      <c r="A59" s="41" t="s">
        <v>301</v>
      </c>
      <c r="B59" s="41" t="s">
        <v>373</v>
      </c>
      <c r="C59" s="42" t="s">
        <v>253</v>
      </c>
      <c r="D59" s="23">
        <v>5</v>
      </c>
      <c r="E59" s="23">
        <v>1</v>
      </c>
      <c r="F59" s="43">
        <v>0.46256591999999996</v>
      </c>
    </row>
    <row r="60" spans="1:6" x14ac:dyDescent="0.25">
      <c r="A60" s="41" t="s">
        <v>302</v>
      </c>
      <c r="B60" s="41" t="s">
        <v>374</v>
      </c>
      <c r="C60" s="42" t="s">
        <v>253</v>
      </c>
      <c r="D60" s="23">
        <v>5</v>
      </c>
      <c r="E60" s="23">
        <v>2</v>
      </c>
      <c r="F60" s="43">
        <v>0.45840432000000003</v>
      </c>
    </row>
    <row r="61" spans="1:6" x14ac:dyDescent="0.25">
      <c r="A61" s="41" t="s">
        <v>303</v>
      </c>
      <c r="B61" s="41" t="s">
        <v>375</v>
      </c>
      <c r="C61" s="42" t="s">
        <v>253</v>
      </c>
      <c r="D61" s="23">
        <v>5</v>
      </c>
      <c r="E61" s="23">
        <v>3</v>
      </c>
      <c r="F61" s="43">
        <v>0.43662528</v>
      </c>
    </row>
    <row r="62" spans="1:6" x14ac:dyDescent="0.25">
      <c r="A62" s="41" t="s">
        <v>304</v>
      </c>
      <c r="B62" s="41" t="s">
        <v>376</v>
      </c>
      <c r="C62" s="42" t="s">
        <v>253</v>
      </c>
      <c r="D62" s="23">
        <v>5</v>
      </c>
      <c r="E62" s="23">
        <v>4</v>
      </c>
      <c r="F62" s="43">
        <v>0.42719231999999996</v>
      </c>
    </row>
    <row r="63" spans="1:6" x14ac:dyDescent="0.25">
      <c r="A63" s="41" t="s">
        <v>305</v>
      </c>
      <c r="B63" s="41" t="s">
        <v>377</v>
      </c>
      <c r="C63" s="42" t="s">
        <v>253</v>
      </c>
      <c r="D63" s="23">
        <v>5</v>
      </c>
      <c r="E63" s="23">
        <v>5</v>
      </c>
      <c r="F63" s="43">
        <v>0.40606063999999997</v>
      </c>
    </row>
    <row r="64" spans="1:6" x14ac:dyDescent="0.25">
      <c r="A64" s="41" t="s">
        <v>306</v>
      </c>
      <c r="B64" s="41" t="s">
        <v>378</v>
      </c>
      <c r="C64" s="42" t="s">
        <v>253</v>
      </c>
      <c r="D64" s="23">
        <v>5</v>
      </c>
      <c r="E64" s="23">
        <v>6</v>
      </c>
      <c r="F64" s="43">
        <v>0.39103263999999993</v>
      </c>
    </row>
    <row r="65" spans="1:6" x14ac:dyDescent="0.25">
      <c r="A65" s="41" t="s">
        <v>307</v>
      </c>
      <c r="B65" s="41" t="s">
        <v>379</v>
      </c>
      <c r="C65" s="42" t="s">
        <v>336</v>
      </c>
      <c r="D65" s="23">
        <v>5</v>
      </c>
      <c r="E65" s="23">
        <v>7</v>
      </c>
      <c r="F65" s="43">
        <v>9.3676733333333317E-2</v>
      </c>
    </row>
    <row r="66" spans="1:6" x14ac:dyDescent="0.25">
      <c r="A66" s="41" t="s">
        <v>308</v>
      </c>
      <c r="B66" s="41" t="s">
        <v>380</v>
      </c>
      <c r="C66" s="42" t="s">
        <v>336</v>
      </c>
      <c r="D66" s="23">
        <v>5</v>
      </c>
      <c r="E66" s="23">
        <v>8</v>
      </c>
      <c r="F66" s="43">
        <v>9.9022666666666675E-2</v>
      </c>
    </row>
    <row r="67" spans="1:6" x14ac:dyDescent="0.25">
      <c r="A67" s="41" t="s">
        <v>309</v>
      </c>
      <c r="B67" s="41" t="s">
        <v>381</v>
      </c>
      <c r="C67" s="42" t="s">
        <v>336</v>
      </c>
      <c r="D67" s="23">
        <v>5</v>
      </c>
      <c r="E67" s="23">
        <v>9</v>
      </c>
      <c r="F67" s="43">
        <v>9.3273266666666674E-2</v>
      </c>
    </row>
    <row r="68" spans="1:6" x14ac:dyDescent="0.25">
      <c r="A68" s="41" t="s">
        <v>310</v>
      </c>
      <c r="B68" s="41" t="s">
        <v>382</v>
      </c>
      <c r="C68" s="42" t="s">
        <v>336</v>
      </c>
      <c r="D68" s="23">
        <v>5</v>
      </c>
      <c r="E68" s="23">
        <v>10</v>
      </c>
      <c r="F68" s="43">
        <v>9.3424566666666681E-2</v>
      </c>
    </row>
    <row r="69" spans="1:6" x14ac:dyDescent="0.25">
      <c r="A69" s="41" t="s">
        <v>311</v>
      </c>
      <c r="B69" s="41" t="s">
        <v>383</v>
      </c>
      <c r="C69" s="42" t="s">
        <v>336</v>
      </c>
      <c r="D69" s="23">
        <v>5</v>
      </c>
      <c r="E69" s="23">
        <v>11</v>
      </c>
      <c r="F69" s="43">
        <v>9.2340249999999985E-2</v>
      </c>
    </row>
    <row r="70" spans="1:6" x14ac:dyDescent="0.25">
      <c r="A70" s="41" t="s">
        <v>312</v>
      </c>
      <c r="B70" s="41" t="s">
        <v>384</v>
      </c>
      <c r="C70" s="42" t="s">
        <v>336</v>
      </c>
      <c r="D70" s="23">
        <v>5</v>
      </c>
      <c r="E70" s="23">
        <v>12</v>
      </c>
      <c r="F70" s="43">
        <v>9.4534099999999996E-2</v>
      </c>
    </row>
    <row r="71" spans="1:6" x14ac:dyDescent="0.25">
      <c r="A71" s="41" t="s">
        <v>313</v>
      </c>
      <c r="B71" s="41" t="s">
        <v>385</v>
      </c>
      <c r="C71" s="42" t="s">
        <v>253</v>
      </c>
      <c r="D71" s="23">
        <v>6</v>
      </c>
      <c r="E71" s="23">
        <v>1</v>
      </c>
      <c r="F71" s="43">
        <v>0.42044127999999997</v>
      </c>
    </row>
    <row r="72" spans="1:6" x14ac:dyDescent="0.25">
      <c r="A72" s="41" t="s">
        <v>314</v>
      </c>
      <c r="B72" s="41" t="s">
        <v>386</v>
      </c>
      <c r="C72" s="42" t="s">
        <v>253</v>
      </c>
      <c r="D72" s="23">
        <v>6</v>
      </c>
      <c r="E72" s="23">
        <v>2</v>
      </c>
      <c r="F72" s="43">
        <v>0.441388</v>
      </c>
    </row>
    <row r="73" spans="1:6" x14ac:dyDescent="0.25">
      <c r="A73" s="41" t="s">
        <v>315</v>
      </c>
      <c r="B73" s="41" t="s">
        <v>387</v>
      </c>
      <c r="C73" s="42" t="s">
        <v>253</v>
      </c>
      <c r="D73" s="23">
        <v>6</v>
      </c>
      <c r="E73" s="23">
        <v>3</v>
      </c>
      <c r="F73" s="43">
        <v>0.41137824000000001</v>
      </c>
    </row>
    <row r="74" spans="1:6" x14ac:dyDescent="0.25">
      <c r="A74" s="41" t="s">
        <v>316</v>
      </c>
      <c r="B74" s="41" t="s">
        <v>388</v>
      </c>
      <c r="C74" s="42" t="s">
        <v>253</v>
      </c>
      <c r="D74" s="23">
        <v>6</v>
      </c>
      <c r="E74" s="23">
        <v>4</v>
      </c>
      <c r="F74" s="43">
        <v>0.41244176000000005</v>
      </c>
    </row>
    <row r="75" spans="1:6" x14ac:dyDescent="0.25">
      <c r="A75" s="41" t="s">
        <v>317</v>
      </c>
      <c r="B75" s="41" t="s">
        <v>389</v>
      </c>
      <c r="C75" s="42" t="s">
        <v>253</v>
      </c>
      <c r="D75" s="23">
        <v>6</v>
      </c>
      <c r="E75" s="23">
        <v>5</v>
      </c>
      <c r="F75" s="43">
        <v>0.38872064000000001</v>
      </c>
    </row>
    <row r="76" spans="1:6" x14ac:dyDescent="0.25">
      <c r="A76" s="41" t="s">
        <v>318</v>
      </c>
      <c r="B76" s="41" t="s">
        <v>390</v>
      </c>
      <c r="C76" s="42" t="s">
        <v>253</v>
      </c>
      <c r="D76" s="23">
        <v>6</v>
      </c>
      <c r="E76" s="23">
        <v>6</v>
      </c>
      <c r="F76" s="43">
        <v>0.38270944000000001</v>
      </c>
    </row>
    <row r="77" spans="1:6" x14ac:dyDescent="0.25">
      <c r="A77" s="41" t="s">
        <v>319</v>
      </c>
      <c r="B77" s="41" t="s">
        <v>391</v>
      </c>
      <c r="C77" s="42" t="s">
        <v>336</v>
      </c>
      <c r="D77" s="23">
        <v>6</v>
      </c>
      <c r="E77" s="23">
        <v>7</v>
      </c>
      <c r="F77" s="43">
        <v>9.9249616666666651E-2</v>
      </c>
    </row>
    <row r="78" spans="1:6" x14ac:dyDescent="0.25">
      <c r="A78" s="41" t="s">
        <v>320</v>
      </c>
      <c r="B78" s="41" t="s">
        <v>392</v>
      </c>
      <c r="C78" s="42" t="s">
        <v>336</v>
      </c>
      <c r="D78" s="23">
        <v>6</v>
      </c>
      <c r="E78" s="23">
        <v>8</v>
      </c>
      <c r="F78" s="43">
        <v>0.10043479999999998</v>
      </c>
    </row>
    <row r="79" spans="1:6" x14ac:dyDescent="0.25">
      <c r="A79" s="41" t="s">
        <v>321</v>
      </c>
      <c r="B79" s="41" t="s">
        <v>393</v>
      </c>
      <c r="C79" s="42" t="s">
        <v>336</v>
      </c>
      <c r="D79" s="23">
        <v>6</v>
      </c>
      <c r="E79" s="23">
        <v>9</v>
      </c>
      <c r="F79" s="43">
        <v>0.10154433333333333</v>
      </c>
    </row>
    <row r="80" spans="1:6" x14ac:dyDescent="0.25">
      <c r="A80" s="41" t="s">
        <v>322</v>
      </c>
      <c r="B80" s="41" t="s">
        <v>394</v>
      </c>
      <c r="C80" s="42" t="s">
        <v>336</v>
      </c>
      <c r="D80" s="23">
        <v>6</v>
      </c>
      <c r="E80" s="23">
        <v>10</v>
      </c>
      <c r="F80" s="43">
        <v>9.7131416666666665E-2</v>
      </c>
    </row>
    <row r="81" spans="1:6" x14ac:dyDescent="0.25">
      <c r="A81" s="41" t="s">
        <v>323</v>
      </c>
      <c r="B81" s="41" t="s">
        <v>395</v>
      </c>
      <c r="C81" s="42" t="s">
        <v>336</v>
      </c>
      <c r="D81" s="23">
        <v>6</v>
      </c>
      <c r="E81" s="23">
        <v>11</v>
      </c>
      <c r="F81" s="43">
        <v>9.9728733333333319E-2</v>
      </c>
    </row>
    <row r="82" spans="1:6" x14ac:dyDescent="0.25">
      <c r="A82" s="41" t="s">
        <v>324</v>
      </c>
      <c r="B82" s="41" t="s">
        <v>396</v>
      </c>
      <c r="C82" s="42" t="s">
        <v>336</v>
      </c>
      <c r="D82" s="23">
        <v>6</v>
      </c>
      <c r="E82" s="23">
        <v>12</v>
      </c>
      <c r="F82" s="43">
        <v>9.8165299999999997E-2</v>
      </c>
    </row>
    <row r="83" spans="1:6" x14ac:dyDescent="0.25">
      <c r="F83" s="8"/>
    </row>
    <row r="84" spans="1:6" x14ac:dyDescent="0.25">
      <c r="F84" s="8"/>
    </row>
    <row r="85" spans="1:6" x14ac:dyDescent="0.25">
      <c r="F85" s="8"/>
    </row>
    <row r="86" spans="1:6" x14ac:dyDescent="0.25">
      <c r="F86" s="8"/>
    </row>
    <row r="87" spans="1:6" x14ac:dyDescent="0.25">
      <c r="F87" s="8"/>
    </row>
    <row r="88" spans="1:6" x14ac:dyDescent="0.25">
      <c r="F88" s="8"/>
    </row>
    <row r="89" spans="1:6" x14ac:dyDescent="0.25">
      <c r="F89" s="8"/>
    </row>
    <row r="90" spans="1:6" x14ac:dyDescent="0.25">
      <c r="F90" s="8"/>
    </row>
    <row r="91" spans="1:6" x14ac:dyDescent="0.25">
      <c r="F91" s="8"/>
    </row>
    <row r="92" spans="1:6" x14ac:dyDescent="0.25">
      <c r="F92" s="8"/>
    </row>
    <row r="93" spans="1:6" x14ac:dyDescent="0.25">
      <c r="F93" s="8"/>
    </row>
    <row r="94" spans="1:6" x14ac:dyDescent="0.25">
      <c r="F94" s="8"/>
    </row>
    <row r="95" spans="1:6" x14ac:dyDescent="0.25">
      <c r="F95" s="8"/>
    </row>
    <row r="96" spans="1:6" x14ac:dyDescent="0.25">
      <c r="F96" s="8"/>
    </row>
    <row r="97" spans="6:6" x14ac:dyDescent="0.25">
      <c r="F97" s="8"/>
    </row>
    <row r="98" spans="6:6" x14ac:dyDescent="0.25">
      <c r="F98" s="8"/>
    </row>
    <row r="99" spans="6:6" x14ac:dyDescent="0.25">
      <c r="F99" s="8"/>
    </row>
    <row r="100" spans="6:6" x14ac:dyDescent="0.25">
      <c r="F100" s="8"/>
    </row>
    <row r="101" spans="6:6" x14ac:dyDescent="0.25">
      <c r="F101" s="8"/>
    </row>
    <row r="102" spans="6:6" x14ac:dyDescent="0.25">
      <c r="F102" s="8"/>
    </row>
    <row r="103" spans="6:6" x14ac:dyDescent="0.25">
      <c r="F103" s="8"/>
    </row>
    <row r="104" spans="6:6" x14ac:dyDescent="0.25">
      <c r="F104" s="8"/>
    </row>
    <row r="105" spans="6:6" x14ac:dyDescent="0.25">
      <c r="F105" s="8"/>
    </row>
    <row r="106" spans="6:6" x14ac:dyDescent="0.25">
      <c r="F106" s="8"/>
    </row>
    <row r="107" spans="6:6" x14ac:dyDescent="0.25">
      <c r="F107" s="8"/>
    </row>
    <row r="108" spans="6:6" x14ac:dyDescent="0.25">
      <c r="F108" s="8"/>
    </row>
    <row r="109" spans="6:6" x14ac:dyDescent="0.25">
      <c r="F109" s="8"/>
    </row>
    <row r="110" spans="6:6" x14ac:dyDescent="0.25">
      <c r="F110" s="8"/>
    </row>
    <row r="111" spans="6:6" x14ac:dyDescent="0.25">
      <c r="F111" s="8"/>
    </row>
    <row r="112" spans="6:6" x14ac:dyDescent="0.25">
      <c r="F112" s="8"/>
    </row>
    <row r="113" spans="6:6" x14ac:dyDescent="0.25">
      <c r="F113" s="8"/>
    </row>
    <row r="114" spans="6:6" x14ac:dyDescent="0.25">
      <c r="F114" s="8"/>
    </row>
    <row r="115" spans="6:6" x14ac:dyDescent="0.25">
      <c r="F115" s="8"/>
    </row>
    <row r="116" spans="6:6" x14ac:dyDescent="0.25">
      <c r="F116" s="8"/>
    </row>
    <row r="117" spans="6:6" x14ac:dyDescent="0.25">
      <c r="F117" s="8"/>
    </row>
    <row r="118" spans="6:6" x14ac:dyDescent="0.25">
      <c r="F118" s="8"/>
    </row>
    <row r="119" spans="6:6" x14ac:dyDescent="0.25">
      <c r="F119" s="8"/>
    </row>
    <row r="120" spans="6:6" x14ac:dyDescent="0.25">
      <c r="F120" s="8"/>
    </row>
    <row r="121" spans="6:6" x14ac:dyDescent="0.25">
      <c r="F121" s="8"/>
    </row>
    <row r="122" spans="6:6" x14ac:dyDescent="0.25">
      <c r="F122" s="8"/>
    </row>
    <row r="123" spans="6:6" x14ac:dyDescent="0.25">
      <c r="F123" s="8"/>
    </row>
    <row r="124" spans="6:6" x14ac:dyDescent="0.25">
      <c r="F124" s="8"/>
    </row>
    <row r="125" spans="6:6" x14ac:dyDescent="0.25">
      <c r="F125" s="8"/>
    </row>
    <row r="126" spans="6:6" x14ac:dyDescent="0.25">
      <c r="F126" s="8"/>
    </row>
    <row r="127" spans="6:6" x14ac:dyDescent="0.25">
      <c r="F127" s="8"/>
    </row>
    <row r="128" spans="6:6" x14ac:dyDescent="0.25">
      <c r="F128" s="8"/>
    </row>
    <row r="129" spans="6:6" x14ac:dyDescent="0.25">
      <c r="F129" s="8"/>
    </row>
  </sheetData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 enableFormatConditionsCalculation="0"/>
  <dimension ref="A2:BC105"/>
  <sheetViews>
    <sheetView topLeftCell="X1" workbookViewId="0">
      <selection activeCell="Y6" sqref="Y6"/>
    </sheetView>
  </sheetViews>
  <sheetFormatPr defaultColWidth="8.85546875" defaultRowHeight="15" x14ac:dyDescent="0.25"/>
  <cols>
    <col min="1" max="16384" width="8.85546875" style="4"/>
  </cols>
  <sheetData>
    <row r="2" spans="1:55" x14ac:dyDescent="0.25">
      <c r="A2" s="4" t="s">
        <v>79</v>
      </c>
      <c r="O2" s="4" t="s">
        <v>80</v>
      </c>
      <c r="T2" s="4" t="s">
        <v>81</v>
      </c>
      <c r="Z2" s="4" t="s">
        <v>82</v>
      </c>
      <c r="AE2" s="4" t="s">
        <v>117</v>
      </c>
      <c r="AR2" s="4" t="s">
        <v>25</v>
      </c>
      <c r="AV2" s="4" t="s">
        <v>67</v>
      </c>
      <c r="AZ2" s="4" t="s">
        <v>81</v>
      </c>
    </row>
    <row r="3" spans="1:55" x14ac:dyDescent="0.25">
      <c r="A3" s="4" t="s">
        <v>83</v>
      </c>
      <c r="B3" s="4" t="s">
        <v>38</v>
      </c>
      <c r="C3" s="4" t="s">
        <v>39</v>
      </c>
      <c r="D3" s="4" t="s">
        <v>40</v>
      </c>
      <c r="E3" s="4" t="s">
        <v>41</v>
      </c>
      <c r="F3" s="4" t="s">
        <v>42</v>
      </c>
      <c r="G3" s="4" t="s">
        <v>43</v>
      </c>
      <c r="H3" s="4" t="s">
        <v>44</v>
      </c>
      <c r="I3" s="4" t="s">
        <v>45</v>
      </c>
      <c r="J3" s="4" t="s">
        <v>46</v>
      </c>
      <c r="K3" s="4" t="s">
        <v>47</v>
      </c>
      <c r="L3" s="4" t="s">
        <v>48</v>
      </c>
      <c r="M3" s="4" t="s">
        <v>49</v>
      </c>
      <c r="O3" s="4" t="s">
        <v>206</v>
      </c>
      <c r="P3" s="4" t="s">
        <v>213</v>
      </c>
      <c r="Q3" s="4" t="s">
        <v>214</v>
      </c>
      <c r="R3" s="4" t="s">
        <v>215</v>
      </c>
      <c r="T3" s="4" t="s">
        <v>206</v>
      </c>
      <c r="U3" s="4" t="s">
        <v>213</v>
      </c>
      <c r="V3" s="4" t="s">
        <v>214</v>
      </c>
      <c r="W3" s="4" t="s">
        <v>215</v>
      </c>
      <c r="Z3" s="4" t="s">
        <v>206</v>
      </c>
      <c r="AA3" s="4" t="s">
        <v>213</v>
      </c>
      <c r="AB3" s="4" t="s">
        <v>214</v>
      </c>
      <c r="AC3" s="4" t="s">
        <v>215</v>
      </c>
      <c r="AE3" s="4" t="str">
        <f>B3</f>
        <v>Culture 1</v>
      </c>
      <c r="AF3" s="4" t="str">
        <f t="shared" ref="AF3:AN3" si="0">C3</f>
        <v>Culture 2</v>
      </c>
      <c r="AG3" s="4" t="str">
        <f t="shared" si="0"/>
        <v>Culture 3</v>
      </c>
      <c r="AH3" s="4" t="str">
        <f t="shared" si="0"/>
        <v>Culture 4</v>
      </c>
      <c r="AI3" s="4" t="str">
        <f t="shared" si="0"/>
        <v>Culture 5</v>
      </c>
      <c r="AJ3" s="4" t="str">
        <f t="shared" si="0"/>
        <v>Culture 6</v>
      </c>
      <c r="AK3" s="4" t="str">
        <f t="shared" si="0"/>
        <v>Culture 7</v>
      </c>
      <c r="AL3" s="4" t="str">
        <f t="shared" si="0"/>
        <v>Culture 8</v>
      </c>
      <c r="AM3" s="4" t="str">
        <f t="shared" si="0"/>
        <v>Culture 9</v>
      </c>
      <c r="AN3" s="4" t="str">
        <f t="shared" si="0"/>
        <v>Culture 10</v>
      </c>
      <c r="AO3" s="4" t="str">
        <f>L3</f>
        <v>Culture 11</v>
      </c>
      <c r="AP3" s="4" t="str">
        <f t="shared" ref="AP3" si="1">M3</f>
        <v>Culture 12</v>
      </c>
      <c r="AR3" s="4" t="str">
        <f>Z3</f>
        <v>Control</v>
      </c>
      <c r="AS3" s="4" t="str">
        <f t="shared" ref="AS3:AU3" si="2">AA3</f>
        <v>Thi</v>
      </c>
      <c r="AT3" s="4" t="str">
        <f t="shared" si="2"/>
        <v>Pant</v>
      </c>
      <c r="AU3" s="4" t="str">
        <f t="shared" si="2"/>
        <v>Thi+Pant</v>
      </c>
      <c r="AV3" s="4" t="str">
        <f>AR3</f>
        <v>Control</v>
      </c>
      <c r="AW3" s="4" t="str">
        <f t="shared" ref="AW3:AY3" si="3">AS3</f>
        <v>Thi</v>
      </c>
      <c r="AX3" s="4" t="str">
        <f t="shared" si="3"/>
        <v>Pant</v>
      </c>
      <c r="AY3" s="4" t="str">
        <f t="shared" si="3"/>
        <v>Thi+Pant</v>
      </c>
      <c r="AZ3" s="4" t="str">
        <f>AV3</f>
        <v>Control</v>
      </c>
      <c r="BA3" s="4" t="str">
        <f t="shared" ref="BA3:BC3" si="4">AW3</f>
        <v>Thi</v>
      </c>
      <c r="BB3" s="4" t="str">
        <f t="shared" si="4"/>
        <v>Pant</v>
      </c>
      <c r="BC3" s="4" t="str">
        <f t="shared" si="4"/>
        <v>Thi+Pant</v>
      </c>
    </row>
    <row r="4" spans="1:55" x14ac:dyDescent="0.25">
      <c r="A4" s="4">
        <v>0</v>
      </c>
      <c r="B4" s="4" t="e">
        <f>#REF!</f>
        <v>#REF!</v>
      </c>
      <c r="C4" s="4" t="e">
        <f>#REF!</f>
        <v>#REF!</v>
      </c>
      <c r="D4" s="4" t="e">
        <f>#REF!</f>
        <v>#REF!</v>
      </c>
      <c r="E4" s="4" t="e">
        <f>#REF!</f>
        <v>#REF!</v>
      </c>
      <c r="F4" s="4" t="e">
        <f>#REF!</f>
        <v>#REF!</v>
      </c>
      <c r="G4" s="4" t="e">
        <f>#REF!</f>
        <v>#REF!</v>
      </c>
      <c r="H4" s="4" t="e">
        <f>#REF!</f>
        <v>#REF!</v>
      </c>
      <c r="I4" s="4" t="e">
        <f>#REF!</f>
        <v>#REF!</v>
      </c>
      <c r="J4" s="4" t="e">
        <f>#REF!</f>
        <v>#REF!</v>
      </c>
      <c r="K4" s="4" t="e">
        <f>#REF!</f>
        <v>#REF!</v>
      </c>
      <c r="L4" s="4" t="e">
        <f>#REF!</f>
        <v>#REF!</v>
      </c>
      <c r="M4" s="4" t="e">
        <f>#REF!</f>
        <v>#REF!</v>
      </c>
      <c r="O4" s="4" t="e">
        <f>AVERAGE(B4:D4)</f>
        <v>#REF!</v>
      </c>
      <c r="P4" s="4" t="e">
        <f>AVERAGE(E4:G4)</f>
        <v>#REF!</v>
      </c>
      <c r="Q4" s="4" t="e">
        <f>AVERAGE(H4:J4)</f>
        <v>#REF!</v>
      </c>
      <c r="R4" s="4" t="e">
        <f>AVERAGE(K4:M4)</f>
        <v>#REF!</v>
      </c>
      <c r="T4" s="4" t="e">
        <f>STDEV(B4:D4)/SQRT(3)*4.303</f>
        <v>#REF!</v>
      </c>
      <c r="U4" s="4" t="e">
        <f>STDEV(E4:G4)/SQRT(3)*4.303</f>
        <v>#REF!</v>
      </c>
      <c r="V4" s="4" t="e">
        <f>STDEV(H4:J4)/SQRT(3)*4.303</f>
        <v>#REF!</v>
      </c>
      <c r="W4" s="4" t="e">
        <f>STDEV(K4:M4)/SQRT(3)*4.303</f>
        <v>#REF!</v>
      </c>
      <c r="Y4" s="4" t="s">
        <v>216</v>
      </c>
      <c r="Z4" s="4" t="e">
        <f>O4-O9</f>
        <v>#REF!</v>
      </c>
      <c r="AA4" s="4" t="e">
        <f t="shared" ref="AA4:AC4" si="5">P4-P9</f>
        <v>#REF!</v>
      </c>
      <c r="AB4" s="4" t="e">
        <f t="shared" si="5"/>
        <v>#REF!</v>
      </c>
      <c r="AC4" s="4" t="e">
        <f t="shared" si="5"/>
        <v>#REF!</v>
      </c>
      <c r="AD4" s="4" t="s">
        <v>113</v>
      </c>
      <c r="AE4" s="2" t="e">
        <f>B4-B9</f>
        <v>#REF!</v>
      </c>
      <c r="AF4" s="2" t="e">
        <f t="shared" ref="AF4:AP4" si="6">C4-C9</f>
        <v>#REF!</v>
      </c>
      <c r="AG4" s="2" t="e">
        <f t="shared" si="6"/>
        <v>#REF!</v>
      </c>
      <c r="AH4" s="2" t="e">
        <f t="shared" si="6"/>
        <v>#REF!</v>
      </c>
      <c r="AI4" s="2" t="e">
        <f t="shared" si="6"/>
        <v>#REF!</v>
      </c>
      <c r="AJ4" s="2" t="e">
        <f t="shared" si="6"/>
        <v>#REF!</v>
      </c>
      <c r="AK4" s="2" t="e">
        <f t="shared" si="6"/>
        <v>#REF!</v>
      </c>
      <c r="AL4" s="2" t="e">
        <f t="shared" si="6"/>
        <v>#REF!</v>
      </c>
      <c r="AM4" s="2" t="e">
        <f t="shared" si="6"/>
        <v>#REF!</v>
      </c>
      <c r="AN4" s="2" t="e">
        <f t="shared" si="6"/>
        <v>#REF!</v>
      </c>
      <c r="AO4" s="2" t="e">
        <f t="shared" si="6"/>
        <v>#REF!</v>
      </c>
      <c r="AP4" s="2" t="e">
        <f t="shared" si="6"/>
        <v>#REF!</v>
      </c>
      <c r="AR4" s="2" t="e">
        <f>STDEV(AE4:AG4)</f>
        <v>#REF!</v>
      </c>
      <c r="AS4" s="4" t="e">
        <f>STDEV(AH4:AJ4)</f>
        <v>#REF!</v>
      </c>
      <c r="AT4" s="4" t="e">
        <f>STDEV(AK4:AM4)</f>
        <v>#REF!</v>
      </c>
      <c r="AU4" s="4" t="e">
        <f>STDEV(AN4:AP4)</f>
        <v>#REF!</v>
      </c>
      <c r="AV4" s="4" t="e">
        <f>AR4/SQRT(3)</f>
        <v>#REF!</v>
      </c>
      <c r="AW4" s="4" t="e">
        <f>AS4/SQRT(3)</f>
        <v>#REF!</v>
      </c>
      <c r="AX4" s="4" t="e">
        <f>AT4/SQRT(3)</f>
        <v>#REF!</v>
      </c>
      <c r="AY4" s="4" t="e">
        <f>AU4/SQRT(3)</f>
        <v>#REF!</v>
      </c>
      <c r="AZ4" s="4" t="e">
        <f>AV4*4.303</f>
        <v>#REF!</v>
      </c>
      <c r="BA4" s="4" t="e">
        <f>AW4*4.303</f>
        <v>#REF!</v>
      </c>
      <c r="BB4" s="4" t="e">
        <f>AX4*4.303</f>
        <v>#REF!</v>
      </c>
      <c r="BC4" s="4" t="e">
        <f>AY4*4.303</f>
        <v>#REF!</v>
      </c>
    </row>
    <row r="5" spans="1:55" x14ac:dyDescent="0.25">
      <c r="A5" s="4">
        <v>1</v>
      </c>
      <c r="B5" s="4" t="e">
        <f>#REF!</f>
        <v>#REF!</v>
      </c>
      <c r="C5" s="4" t="e">
        <f>#REF!</f>
        <v>#REF!</v>
      </c>
      <c r="D5" s="4" t="e">
        <f>#REF!</f>
        <v>#REF!</v>
      </c>
      <c r="E5" s="4" t="e">
        <f>#REF!</f>
        <v>#REF!</v>
      </c>
      <c r="F5" s="4" t="e">
        <f>#REF!</f>
        <v>#REF!</v>
      </c>
      <c r="G5" s="4" t="e">
        <f>#REF!</f>
        <v>#REF!</v>
      </c>
      <c r="H5" s="4" t="e">
        <f>#REF!</f>
        <v>#REF!</v>
      </c>
      <c r="I5" s="4" t="e">
        <f>#REF!</f>
        <v>#REF!</v>
      </c>
      <c r="J5" s="4" t="e">
        <f>#REF!</f>
        <v>#REF!</v>
      </c>
      <c r="K5" s="4" t="e">
        <f>#REF!</f>
        <v>#REF!</v>
      </c>
      <c r="L5" s="4" t="e">
        <f>#REF!</f>
        <v>#REF!</v>
      </c>
      <c r="M5" s="4" t="e">
        <f>#REF!</f>
        <v>#REF!</v>
      </c>
      <c r="O5" s="4" t="e">
        <f t="shared" ref="O5:O8" si="7">AVERAGE(B5:D5)</f>
        <v>#REF!</v>
      </c>
      <c r="P5" s="4" t="e">
        <f t="shared" ref="P5:P9" si="8">AVERAGE(E5:G5)</f>
        <v>#REF!</v>
      </c>
      <c r="Q5" s="4" t="e">
        <f t="shared" ref="Q5:Q9" si="9">AVERAGE(H5:J5)</f>
        <v>#REF!</v>
      </c>
      <c r="R5" s="4" t="e">
        <f t="shared" ref="R5:R9" si="10">AVERAGE(K5:M5)</f>
        <v>#REF!</v>
      </c>
      <c r="T5" s="4" t="e">
        <f t="shared" ref="T5:T8" si="11">STDEV(B5:D5)/SQRT(3)*4.303</f>
        <v>#REF!</v>
      </c>
      <c r="U5" s="4" t="e">
        <f t="shared" ref="U5:U9" si="12">STDEV(E5:G5)/SQRT(3)*4.303</f>
        <v>#REF!</v>
      </c>
      <c r="V5" s="4" t="e">
        <f t="shared" ref="V5:V9" si="13">STDEV(H5:J5)/SQRT(3)*4.303</f>
        <v>#REF!</v>
      </c>
      <c r="W5" s="4" t="e">
        <f t="shared" ref="W5:W9" si="14">STDEV(K5:M5)/SQRT(3)*4.303</f>
        <v>#REF!</v>
      </c>
      <c r="Y5" s="4" t="s">
        <v>217</v>
      </c>
      <c r="Z5" s="4" t="e">
        <f>O18-O13</f>
        <v>#REF!</v>
      </c>
      <c r="AA5" s="4" t="e">
        <f t="shared" ref="AA5:AC5" si="15">P18-P13</f>
        <v>#REF!</v>
      </c>
      <c r="AB5" s="4" t="e">
        <f t="shared" si="15"/>
        <v>#REF!</v>
      </c>
      <c r="AC5" s="4" t="e">
        <f t="shared" si="15"/>
        <v>#REF!</v>
      </c>
      <c r="AD5" s="4" t="s">
        <v>114</v>
      </c>
      <c r="AE5" s="32" t="e">
        <f>B18-B13</f>
        <v>#REF!</v>
      </c>
      <c r="AF5" s="32" t="e">
        <f t="shared" ref="AF5:AP5" si="16">C18-C13</f>
        <v>#REF!</v>
      </c>
      <c r="AG5" s="32" t="e">
        <f t="shared" si="16"/>
        <v>#REF!</v>
      </c>
      <c r="AH5" s="32" t="e">
        <f t="shared" si="16"/>
        <v>#REF!</v>
      </c>
      <c r="AI5" s="32" t="e">
        <f t="shared" si="16"/>
        <v>#REF!</v>
      </c>
      <c r="AJ5" s="32" t="e">
        <f t="shared" si="16"/>
        <v>#REF!</v>
      </c>
      <c r="AK5" s="32" t="e">
        <f t="shared" si="16"/>
        <v>#REF!</v>
      </c>
      <c r="AL5" s="32" t="e">
        <f t="shared" si="16"/>
        <v>#REF!</v>
      </c>
      <c r="AM5" s="32" t="e">
        <f t="shared" si="16"/>
        <v>#REF!</v>
      </c>
      <c r="AN5" s="32" t="e">
        <f t="shared" si="16"/>
        <v>#REF!</v>
      </c>
      <c r="AO5" s="32" t="e">
        <f t="shared" si="16"/>
        <v>#REF!</v>
      </c>
      <c r="AP5" s="32" t="e">
        <f t="shared" si="16"/>
        <v>#REF!</v>
      </c>
      <c r="AR5" s="2" t="e">
        <f t="shared" ref="AR5:AR6" si="17">STDEV(AE5:AG5)</f>
        <v>#REF!</v>
      </c>
      <c r="AS5" s="4" t="e">
        <f>STDEV(AH5:AJ5)</f>
        <v>#REF!</v>
      </c>
      <c r="AT5" s="4" t="e">
        <f t="shared" ref="AT5:AT6" si="18">STDEV(AK5:AM5)</f>
        <v>#REF!</v>
      </c>
      <c r="AU5" s="4" t="e">
        <f t="shared" ref="AU5:AU6" si="19">STDEV(AN5:AP5)</f>
        <v>#REF!</v>
      </c>
      <c r="AV5" s="4" t="e">
        <f t="shared" ref="AV5:AV6" si="20">AR5/SQRT(3)</f>
        <v>#REF!</v>
      </c>
      <c r="AW5" s="4" t="e">
        <f t="shared" ref="AW5:AY6" si="21">AS5/SQRT(3)</f>
        <v>#REF!</v>
      </c>
      <c r="AX5" s="4" t="e">
        <f t="shared" si="21"/>
        <v>#REF!</v>
      </c>
      <c r="AY5" s="4" t="e">
        <f t="shared" si="21"/>
        <v>#REF!</v>
      </c>
      <c r="AZ5" s="4" t="e">
        <f t="shared" ref="AZ5:AZ6" si="22">AV5*4.303</f>
        <v>#REF!</v>
      </c>
      <c r="BA5" s="4" t="e">
        <f t="shared" ref="BA5:BC6" si="23">AW5*4.303</f>
        <v>#REF!</v>
      </c>
      <c r="BB5" s="4" t="e">
        <f t="shared" si="23"/>
        <v>#REF!</v>
      </c>
      <c r="BC5" s="4" t="e">
        <f t="shared" si="23"/>
        <v>#REF!</v>
      </c>
    </row>
    <row r="6" spans="1:55" x14ac:dyDescent="0.25">
      <c r="A6" s="4">
        <v>2</v>
      </c>
      <c r="B6" s="4" t="e">
        <f>#REF!</f>
        <v>#REF!</v>
      </c>
      <c r="C6" s="16" t="e">
        <f>#REF!</f>
        <v>#REF!</v>
      </c>
      <c r="D6" s="4" t="e">
        <f>#REF!</f>
        <v>#REF!</v>
      </c>
      <c r="E6" s="4" t="e">
        <f>#REF!</f>
        <v>#REF!</v>
      </c>
      <c r="F6" s="4" t="e">
        <f>#REF!</f>
        <v>#REF!</v>
      </c>
      <c r="G6" s="4" t="e">
        <f>#REF!</f>
        <v>#REF!</v>
      </c>
      <c r="H6" s="4" t="e">
        <f>#REF!</f>
        <v>#REF!</v>
      </c>
      <c r="I6" s="4" t="e">
        <f>#REF!</f>
        <v>#REF!</v>
      </c>
      <c r="J6" s="4" t="e">
        <f>#REF!</f>
        <v>#REF!</v>
      </c>
      <c r="K6" s="4" t="e">
        <f>#REF!</f>
        <v>#REF!</v>
      </c>
      <c r="L6" s="4" t="e">
        <f>#REF!</f>
        <v>#REF!</v>
      </c>
      <c r="M6" s="4" t="e">
        <f>#REF!</f>
        <v>#REF!</v>
      </c>
      <c r="O6" s="4" t="e">
        <f>AVERAGE(B6,D6)</f>
        <v>#REF!</v>
      </c>
      <c r="P6" s="4" t="e">
        <f t="shared" si="8"/>
        <v>#REF!</v>
      </c>
      <c r="Q6" s="4" t="e">
        <f t="shared" si="9"/>
        <v>#REF!</v>
      </c>
      <c r="R6" s="4" t="e">
        <f t="shared" si="10"/>
        <v>#REF!</v>
      </c>
      <c r="T6" s="4" t="e">
        <f>STDEV(B6,D6)/SQRT(2)*12.71</f>
        <v>#REF!</v>
      </c>
      <c r="U6" s="4" t="e">
        <f t="shared" si="12"/>
        <v>#REF!</v>
      </c>
      <c r="V6" s="4" t="e">
        <f t="shared" si="13"/>
        <v>#REF!</v>
      </c>
      <c r="W6" s="4" t="e">
        <f t="shared" si="14"/>
        <v>#REF!</v>
      </c>
      <c r="Y6" s="4" t="s">
        <v>211</v>
      </c>
      <c r="Z6" s="4" t="e">
        <f>O27-O22</f>
        <v>#REF!</v>
      </c>
      <c r="AA6" s="4" t="e">
        <f t="shared" ref="AA6:AC6" si="24">P27-P22</f>
        <v>#REF!</v>
      </c>
      <c r="AB6" s="4" t="e">
        <f t="shared" si="24"/>
        <v>#REF!</v>
      </c>
      <c r="AC6" s="4" t="e">
        <f t="shared" si="24"/>
        <v>#REF!</v>
      </c>
      <c r="AD6" s="4" t="s">
        <v>115</v>
      </c>
      <c r="AE6" s="32" t="e">
        <f>B27-B22</f>
        <v>#REF!</v>
      </c>
      <c r="AF6" s="32" t="e">
        <f t="shared" ref="AF6:AP6" si="25">C27-C22</f>
        <v>#REF!</v>
      </c>
      <c r="AG6" s="32" t="e">
        <f t="shared" si="25"/>
        <v>#REF!</v>
      </c>
      <c r="AH6" s="32" t="e">
        <f t="shared" si="25"/>
        <v>#REF!</v>
      </c>
      <c r="AI6" s="32" t="e">
        <f t="shared" si="25"/>
        <v>#REF!</v>
      </c>
      <c r="AJ6" s="32" t="e">
        <f t="shared" si="25"/>
        <v>#REF!</v>
      </c>
      <c r="AK6" s="32" t="e">
        <f t="shared" si="25"/>
        <v>#REF!</v>
      </c>
      <c r="AL6" s="32" t="e">
        <f t="shared" si="25"/>
        <v>#REF!</v>
      </c>
      <c r="AM6" s="32" t="e">
        <f t="shared" si="25"/>
        <v>#REF!</v>
      </c>
      <c r="AN6" s="32" t="e">
        <f t="shared" si="25"/>
        <v>#REF!</v>
      </c>
      <c r="AO6" s="32" t="e">
        <f t="shared" si="25"/>
        <v>#REF!</v>
      </c>
      <c r="AP6" s="32" t="e">
        <f t="shared" si="25"/>
        <v>#REF!</v>
      </c>
      <c r="AR6" s="2" t="e">
        <f t="shared" si="17"/>
        <v>#REF!</v>
      </c>
      <c r="AS6" s="4" t="e">
        <f t="shared" ref="AS6" si="26">STDEV(AH6:AJ6)</f>
        <v>#REF!</v>
      </c>
      <c r="AT6" s="4" t="e">
        <f t="shared" si="18"/>
        <v>#REF!</v>
      </c>
      <c r="AU6" s="4" t="e">
        <f t="shared" si="19"/>
        <v>#REF!</v>
      </c>
      <c r="AV6" s="4" t="e">
        <f t="shared" si="20"/>
        <v>#REF!</v>
      </c>
      <c r="AW6" s="4" t="e">
        <f t="shared" si="21"/>
        <v>#REF!</v>
      </c>
      <c r="AX6" s="4" t="e">
        <f t="shared" si="21"/>
        <v>#REF!</v>
      </c>
      <c r="AY6" s="4" t="e">
        <f t="shared" si="21"/>
        <v>#REF!</v>
      </c>
      <c r="AZ6" s="4" t="e">
        <f t="shared" si="22"/>
        <v>#REF!</v>
      </c>
      <c r="BA6" s="4" t="e">
        <f t="shared" si="23"/>
        <v>#REF!</v>
      </c>
      <c r="BB6" s="4" t="e">
        <f t="shared" si="23"/>
        <v>#REF!</v>
      </c>
      <c r="BC6" s="4" t="e">
        <f t="shared" si="23"/>
        <v>#REF!</v>
      </c>
    </row>
    <row r="7" spans="1:55" x14ac:dyDescent="0.25">
      <c r="A7" s="4">
        <v>3</v>
      </c>
      <c r="B7" s="4" t="e">
        <f>#REF!</f>
        <v>#REF!</v>
      </c>
      <c r="C7" s="4" t="e">
        <f>#REF!</f>
        <v>#REF!</v>
      </c>
      <c r="D7" s="4" t="e">
        <f>#REF!</f>
        <v>#REF!</v>
      </c>
      <c r="E7" s="4" t="e">
        <f>#REF!</f>
        <v>#REF!</v>
      </c>
      <c r="F7" s="4" t="e">
        <f>#REF!</f>
        <v>#REF!</v>
      </c>
      <c r="G7" s="4" t="e">
        <f>#REF!</f>
        <v>#REF!</v>
      </c>
      <c r="H7" s="4" t="e">
        <f>#REF!</f>
        <v>#REF!</v>
      </c>
      <c r="I7" s="4" t="e">
        <f>#REF!</f>
        <v>#REF!</v>
      </c>
      <c r="J7" s="4" t="e">
        <f>#REF!</f>
        <v>#REF!</v>
      </c>
      <c r="K7" s="4" t="e">
        <f>#REF!</f>
        <v>#REF!</v>
      </c>
      <c r="L7" s="4" t="e">
        <f>#REF!</f>
        <v>#REF!</v>
      </c>
      <c r="M7" s="4" t="e">
        <f>#REF!</f>
        <v>#REF!</v>
      </c>
      <c r="O7" s="4" t="e">
        <f t="shared" si="7"/>
        <v>#REF!</v>
      </c>
      <c r="P7" s="4" t="e">
        <f t="shared" si="8"/>
        <v>#REF!</v>
      </c>
      <c r="Q7" s="4" t="e">
        <f t="shared" si="9"/>
        <v>#REF!</v>
      </c>
      <c r="R7" s="4" t="e">
        <f t="shared" si="10"/>
        <v>#REF!</v>
      </c>
      <c r="T7" s="4" t="e">
        <f t="shared" si="11"/>
        <v>#REF!</v>
      </c>
      <c r="U7" s="4" t="e">
        <f t="shared" si="12"/>
        <v>#REF!</v>
      </c>
      <c r="V7" s="4" t="e">
        <f t="shared" si="13"/>
        <v>#REF!</v>
      </c>
      <c r="W7" s="4" t="e">
        <f t="shared" si="14"/>
        <v>#REF!</v>
      </c>
      <c r="Y7" s="4" t="s">
        <v>212</v>
      </c>
      <c r="Z7" s="4" t="e">
        <f>O36-O31</f>
        <v>#REF!</v>
      </c>
      <c r="AA7" s="4" t="e">
        <f t="shared" ref="AA7:AC7" si="27">P36-P31</f>
        <v>#REF!</v>
      </c>
      <c r="AB7" s="4" t="e">
        <f t="shared" si="27"/>
        <v>#REF!</v>
      </c>
      <c r="AC7" s="4" t="e">
        <f t="shared" si="27"/>
        <v>#REF!</v>
      </c>
      <c r="AE7" s="4" t="e">
        <f>B36-B31</f>
        <v>#REF!</v>
      </c>
      <c r="AF7" s="4" t="e">
        <f t="shared" ref="AF7:AP7" si="28">C36-C31</f>
        <v>#REF!</v>
      </c>
      <c r="AG7" s="4" t="e">
        <f t="shared" si="28"/>
        <v>#REF!</v>
      </c>
      <c r="AH7" s="4" t="e">
        <f t="shared" si="28"/>
        <v>#REF!</v>
      </c>
      <c r="AI7" s="4" t="e">
        <f t="shared" si="28"/>
        <v>#REF!</v>
      </c>
      <c r="AJ7" s="4" t="e">
        <f t="shared" si="28"/>
        <v>#REF!</v>
      </c>
      <c r="AK7" s="4" t="e">
        <f t="shared" si="28"/>
        <v>#REF!</v>
      </c>
      <c r="AL7" s="4" t="e">
        <f t="shared" si="28"/>
        <v>#REF!</v>
      </c>
      <c r="AM7" s="4" t="e">
        <f t="shared" si="28"/>
        <v>#REF!</v>
      </c>
      <c r="AN7" s="4" t="e">
        <f t="shared" si="28"/>
        <v>#REF!</v>
      </c>
      <c r="AO7" s="4" t="e">
        <f t="shared" si="28"/>
        <v>#REF!</v>
      </c>
      <c r="AP7" s="4" t="e">
        <f t="shared" si="28"/>
        <v>#REF!</v>
      </c>
      <c r="AR7" s="2" t="e">
        <f t="shared" ref="AR7" si="29">STDEV(AE7:AG7)</f>
        <v>#REF!</v>
      </c>
      <c r="AS7" s="4" t="e">
        <f t="shared" ref="AS7" si="30">STDEV(AH7:AJ7)</f>
        <v>#REF!</v>
      </c>
      <c r="AT7" s="4" t="e">
        <f t="shared" ref="AT7" si="31">STDEV(AK7:AM7)</f>
        <v>#REF!</v>
      </c>
      <c r="AU7" s="4" t="e">
        <f t="shared" ref="AU7" si="32">STDEV(AN7:AP7)</f>
        <v>#REF!</v>
      </c>
      <c r="AV7" s="4" t="e">
        <f t="shared" ref="AV7" si="33">AR7/SQRT(3)</f>
        <v>#REF!</v>
      </c>
      <c r="AW7" s="4" t="e">
        <f t="shared" ref="AW7" si="34">AS7/SQRT(3)</f>
        <v>#REF!</v>
      </c>
      <c r="AX7" s="4" t="e">
        <f t="shared" ref="AX7" si="35">AT7/SQRT(3)</f>
        <v>#REF!</v>
      </c>
      <c r="AY7" s="4" t="e">
        <f t="shared" ref="AY7" si="36">AU7/SQRT(3)</f>
        <v>#REF!</v>
      </c>
      <c r="AZ7" s="4" t="e">
        <f t="shared" ref="AZ7" si="37">AV7*4.303</f>
        <v>#REF!</v>
      </c>
      <c r="BA7" s="4" t="e">
        <f t="shared" ref="BA7" si="38">AW7*4.303</f>
        <v>#REF!</v>
      </c>
      <c r="BB7" s="4" t="e">
        <f t="shared" ref="BB7" si="39">AX7*4.303</f>
        <v>#REF!</v>
      </c>
      <c r="BC7" s="4" t="e">
        <f t="shared" ref="BC7" si="40">AY7*4.303</f>
        <v>#REF!</v>
      </c>
    </row>
    <row r="8" spans="1:55" x14ac:dyDescent="0.25">
      <c r="A8" s="4">
        <v>4</v>
      </c>
      <c r="B8" s="4" t="e">
        <f>#REF!</f>
        <v>#REF!</v>
      </c>
      <c r="C8" s="4" t="e">
        <f>#REF!</f>
        <v>#REF!</v>
      </c>
      <c r="D8" s="4" t="e">
        <f>#REF!</f>
        <v>#REF!</v>
      </c>
      <c r="E8" s="4" t="e">
        <f>#REF!</f>
        <v>#REF!</v>
      </c>
      <c r="F8" s="4" t="e">
        <f>#REF!</f>
        <v>#REF!</v>
      </c>
      <c r="G8" s="4" t="e">
        <f>#REF!</f>
        <v>#REF!</v>
      </c>
      <c r="H8" s="4" t="e">
        <f>#REF!</f>
        <v>#REF!</v>
      </c>
      <c r="I8" s="4" t="e">
        <f>#REF!</f>
        <v>#REF!</v>
      </c>
      <c r="J8" s="8" t="e">
        <f>#REF!</f>
        <v>#REF!</v>
      </c>
      <c r="K8" s="4" t="e">
        <f>#REF!</f>
        <v>#REF!</v>
      </c>
      <c r="L8" s="4" t="e">
        <f>#REF!</f>
        <v>#REF!</v>
      </c>
      <c r="M8" s="4" t="e">
        <f>#REF!</f>
        <v>#REF!</v>
      </c>
      <c r="O8" s="4" t="e">
        <f t="shared" si="7"/>
        <v>#REF!</v>
      </c>
      <c r="P8" s="4" t="e">
        <f t="shared" si="8"/>
        <v>#REF!</v>
      </c>
      <c r="Q8" s="4" t="e">
        <f t="shared" si="9"/>
        <v>#REF!</v>
      </c>
      <c r="R8" s="4" t="e">
        <f t="shared" si="10"/>
        <v>#REF!</v>
      </c>
      <c r="T8" s="4" t="e">
        <f t="shared" si="11"/>
        <v>#REF!</v>
      </c>
      <c r="U8" s="4" t="e">
        <f t="shared" si="12"/>
        <v>#REF!</v>
      </c>
      <c r="V8" s="4" t="e">
        <f t="shared" si="13"/>
        <v>#REF!</v>
      </c>
      <c r="W8" s="4" t="e">
        <f t="shared" si="14"/>
        <v>#REF!</v>
      </c>
    </row>
    <row r="9" spans="1:55" x14ac:dyDescent="0.25">
      <c r="A9" s="4">
        <v>5</v>
      </c>
      <c r="B9" s="4" t="e">
        <f>#REF!</f>
        <v>#REF!</v>
      </c>
      <c r="C9" s="4" t="e">
        <f>#REF!</f>
        <v>#REF!</v>
      </c>
      <c r="D9" s="4" t="e">
        <f>#REF!</f>
        <v>#REF!</v>
      </c>
      <c r="E9" s="4" t="e">
        <f>#REF!</f>
        <v>#REF!</v>
      </c>
      <c r="F9" s="4" t="e">
        <f>#REF!</f>
        <v>#REF!</v>
      </c>
      <c r="G9" s="4" t="e">
        <f>#REF!</f>
        <v>#REF!</v>
      </c>
      <c r="H9" s="4" t="e">
        <f>#REF!</f>
        <v>#REF!</v>
      </c>
      <c r="I9" s="4" t="e">
        <f>#REF!</f>
        <v>#REF!</v>
      </c>
      <c r="J9" s="4" t="e">
        <f>#REF!</f>
        <v>#REF!</v>
      </c>
      <c r="K9" s="4" t="e">
        <f>#REF!</f>
        <v>#REF!</v>
      </c>
      <c r="L9" s="4" t="e">
        <f>#REF!</f>
        <v>#REF!</v>
      </c>
      <c r="M9" s="4" t="e">
        <f>#REF!</f>
        <v>#REF!</v>
      </c>
      <c r="O9" s="4" t="e">
        <f>AVERAGE(B9:D9)</f>
        <v>#REF!</v>
      </c>
      <c r="P9" s="4" t="e">
        <f t="shared" si="8"/>
        <v>#REF!</v>
      </c>
      <c r="Q9" s="4" t="e">
        <f t="shared" si="9"/>
        <v>#REF!</v>
      </c>
      <c r="R9" s="4" t="e">
        <f t="shared" si="10"/>
        <v>#REF!</v>
      </c>
      <c r="T9" s="4" t="e">
        <f>STDEV(B9:D9)/SQRT(3)*4.303</f>
        <v>#REF!</v>
      </c>
      <c r="U9" s="4" t="e">
        <f t="shared" si="12"/>
        <v>#REF!</v>
      </c>
      <c r="V9" s="4" t="e">
        <f t="shared" si="13"/>
        <v>#REF!</v>
      </c>
      <c r="W9" s="4" t="e">
        <f t="shared" si="14"/>
        <v>#REF!</v>
      </c>
    </row>
    <row r="11" spans="1:55" x14ac:dyDescent="0.25">
      <c r="A11" s="4" t="s">
        <v>210</v>
      </c>
      <c r="O11" s="4" t="s">
        <v>80</v>
      </c>
    </row>
    <row r="12" spans="1:55" x14ac:dyDescent="0.25">
      <c r="A12" s="4" t="s">
        <v>83</v>
      </c>
      <c r="B12" s="4" t="s">
        <v>38</v>
      </c>
      <c r="C12" s="4" t="s">
        <v>39</v>
      </c>
      <c r="D12" s="4" t="s">
        <v>40</v>
      </c>
      <c r="E12" s="4" t="s">
        <v>41</v>
      </c>
      <c r="F12" s="4" t="s">
        <v>42</v>
      </c>
      <c r="G12" s="4" t="s">
        <v>43</v>
      </c>
      <c r="H12" s="4" t="s">
        <v>44</v>
      </c>
      <c r="I12" s="4" t="s">
        <v>45</v>
      </c>
      <c r="J12" s="4" t="s">
        <v>46</v>
      </c>
      <c r="K12" s="4" t="s">
        <v>47</v>
      </c>
      <c r="L12" s="4" t="s">
        <v>48</v>
      </c>
      <c r="M12" s="4" t="s">
        <v>49</v>
      </c>
      <c r="O12" s="4" t="s">
        <v>206</v>
      </c>
      <c r="P12" s="4" t="s">
        <v>213</v>
      </c>
      <c r="Q12" s="4" t="s">
        <v>214</v>
      </c>
      <c r="R12" s="4" t="s">
        <v>215</v>
      </c>
      <c r="T12" s="4" t="s">
        <v>206</v>
      </c>
      <c r="U12" s="4" t="s">
        <v>213</v>
      </c>
      <c r="V12" s="4" t="s">
        <v>214</v>
      </c>
      <c r="W12" s="4" t="s">
        <v>215</v>
      </c>
    </row>
    <row r="13" spans="1:55" x14ac:dyDescent="0.25">
      <c r="A13" s="4">
        <v>0</v>
      </c>
      <c r="B13" s="4" t="e">
        <f>#REF!</f>
        <v>#REF!</v>
      </c>
      <c r="C13" s="4" t="e">
        <f>#REF!</f>
        <v>#REF!</v>
      </c>
      <c r="D13" s="4" t="e">
        <f>#REF!</f>
        <v>#REF!</v>
      </c>
      <c r="E13" s="4" t="e">
        <f>#REF!</f>
        <v>#REF!</v>
      </c>
      <c r="F13" s="4" t="e">
        <f>#REF!</f>
        <v>#REF!</v>
      </c>
      <c r="G13" s="4" t="e">
        <f>#REF!</f>
        <v>#REF!</v>
      </c>
      <c r="H13" s="4" t="e">
        <f>#REF!</f>
        <v>#REF!</v>
      </c>
      <c r="I13" s="4" t="e">
        <f>#REF!</f>
        <v>#REF!</v>
      </c>
      <c r="J13" s="4" t="e">
        <f>#REF!</f>
        <v>#REF!</v>
      </c>
      <c r="K13" s="4" t="e">
        <f>#REF!</f>
        <v>#REF!</v>
      </c>
      <c r="L13" s="4" t="e">
        <f>#REF!</f>
        <v>#REF!</v>
      </c>
      <c r="M13" s="4" t="e">
        <f>#REF!</f>
        <v>#REF!</v>
      </c>
      <c r="O13" s="4" t="e">
        <f>AVERAGE(B13:D13)</f>
        <v>#REF!</v>
      </c>
      <c r="P13" s="4" t="e">
        <f>AVERAGE(E13:G13)</f>
        <v>#REF!</v>
      </c>
      <c r="Q13" s="4" t="e">
        <f>AVERAGE(H13:J13)</f>
        <v>#REF!</v>
      </c>
      <c r="R13" s="4" t="e">
        <f>AVERAGE(K13:M13)</f>
        <v>#REF!</v>
      </c>
      <c r="T13" s="4" t="e">
        <f>STDEV(B13:D13)/SQRT(3)*4.303</f>
        <v>#REF!</v>
      </c>
      <c r="U13" s="4" t="e">
        <f>STDEV(E13:G13)/SQRT(3)*4.303</f>
        <v>#REF!</v>
      </c>
      <c r="V13" s="4" t="e">
        <f>STDEV(H13:J13)/SQRT(3)*4.303</f>
        <v>#REF!</v>
      </c>
      <c r="W13" s="4" t="e">
        <f>STDEV(K13:M13)/SQRT(3)*4.303</f>
        <v>#REF!</v>
      </c>
    </row>
    <row r="14" spans="1:55" x14ac:dyDescent="0.25">
      <c r="A14" s="4">
        <v>1</v>
      </c>
      <c r="B14" s="4" t="e">
        <f>#REF!</f>
        <v>#REF!</v>
      </c>
      <c r="C14" s="4" t="e">
        <f>#REF!</f>
        <v>#REF!</v>
      </c>
      <c r="D14" s="4" t="e">
        <f>#REF!</f>
        <v>#REF!</v>
      </c>
      <c r="E14" s="4" t="e">
        <f>#REF!</f>
        <v>#REF!</v>
      </c>
      <c r="F14" s="4" t="e">
        <f>#REF!</f>
        <v>#REF!</v>
      </c>
      <c r="G14" s="4" t="e">
        <f>#REF!</f>
        <v>#REF!</v>
      </c>
      <c r="H14" s="4" t="e">
        <f>#REF!</f>
        <v>#REF!</v>
      </c>
      <c r="I14" s="4" t="e">
        <f>#REF!</f>
        <v>#REF!</v>
      </c>
      <c r="J14" s="4" t="e">
        <f>#REF!</f>
        <v>#REF!</v>
      </c>
      <c r="K14" s="4" t="e">
        <f>#REF!</f>
        <v>#REF!</v>
      </c>
      <c r="L14" s="4" t="e">
        <f>#REF!</f>
        <v>#REF!</v>
      </c>
      <c r="M14" s="4" t="e">
        <f>#REF!</f>
        <v>#REF!</v>
      </c>
      <c r="O14" s="4" t="e">
        <f t="shared" ref="O14:O17" si="41">AVERAGE(B14:D14)</f>
        <v>#REF!</v>
      </c>
      <c r="P14" s="4" t="e">
        <f t="shared" ref="P14:P18" si="42">AVERAGE(E14:G14)</f>
        <v>#REF!</v>
      </c>
      <c r="Q14" s="4" t="e">
        <f t="shared" ref="Q14:Q18" si="43">AVERAGE(H14:J14)</f>
        <v>#REF!</v>
      </c>
      <c r="R14" s="4" t="e">
        <f t="shared" ref="R14:R18" si="44">AVERAGE(K14:M14)</f>
        <v>#REF!</v>
      </c>
      <c r="T14" s="4" t="e">
        <f t="shared" ref="T14:T18" si="45">STDEV(B14:D14)/SQRT(3)*4.303</f>
        <v>#REF!</v>
      </c>
      <c r="U14" s="4" t="e">
        <f t="shared" ref="U14:U18" si="46">STDEV(E14:G14)/SQRT(3)*4.303</f>
        <v>#REF!</v>
      </c>
      <c r="V14" s="4" t="e">
        <f t="shared" ref="V14:V18" si="47">STDEV(H14:J14)/SQRT(3)*4.303</f>
        <v>#REF!</v>
      </c>
      <c r="W14" s="4" t="e">
        <f t="shared" ref="W14:W18" si="48">STDEV(K14:M14)/SQRT(3)*4.303</f>
        <v>#REF!</v>
      </c>
    </row>
    <row r="15" spans="1:55" x14ac:dyDescent="0.25">
      <c r="A15" s="4">
        <v>2</v>
      </c>
      <c r="B15" s="4" t="e">
        <f>#REF!</f>
        <v>#REF!</v>
      </c>
      <c r="C15" s="4" t="e">
        <f>#REF!</f>
        <v>#REF!</v>
      </c>
      <c r="D15" s="4" t="e">
        <f>#REF!</f>
        <v>#REF!</v>
      </c>
      <c r="E15" s="4" t="e">
        <f>#REF!</f>
        <v>#REF!</v>
      </c>
      <c r="F15" s="4" t="e">
        <f>#REF!</f>
        <v>#REF!</v>
      </c>
      <c r="G15" s="4" t="e">
        <f>#REF!</f>
        <v>#REF!</v>
      </c>
      <c r="H15" s="4" t="e">
        <f>#REF!</f>
        <v>#REF!</v>
      </c>
      <c r="I15" s="4" t="e">
        <f>#REF!</f>
        <v>#REF!</v>
      </c>
      <c r="J15" s="4" t="e">
        <f>#REF!</f>
        <v>#REF!</v>
      </c>
      <c r="K15" s="4" t="e">
        <f>#REF!</f>
        <v>#REF!</v>
      </c>
      <c r="L15" s="4" t="e">
        <f>#REF!</f>
        <v>#REF!</v>
      </c>
      <c r="M15" s="4" t="e">
        <f>#REF!</f>
        <v>#REF!</v>
      </c>
      <c r="O15" s="4" t="e">
        <f t="shared" si="41"/>
        <v>#REF!</v>
      </c>
      <c r="P15" s="4" t="e">
        <f t="shared" si="42"/>
        <v>#REF!</v>
      </c>
      <c r="Q15" s="4" t="e">
        <f t="shared" si="43"/>
        <v>#REF!</v>
      </c>
      <c r="R15" s="4" t="e">
        <f t="shared" si="44"/>
        <v>#REF!</v>
      </c>
      <c r="T15" s="4" t="e">
        <f t="shared" si="45"/>
        <v>#REF!</v>
      </c>
      <c r="U15" s="4" t="e">
        <f t="shared" si="46"/>
        <v>#REF!</v>
      </c>
      <c r="V15" s="4" t="e">
        <f t="shared" si="47"/>
        <v>#REF!</v>
      </c>
      <c r="W15" s="4" t="e">
        <f t="shared" si="48"/>
        <v>#REF!</v>
      </c>
    </row>
    <row r="16" spans="1:55" x14ac:dyDescent="0.25">
      <c r="A16" s="4">
        <v>3</v>
      </c>
      <c r="B16" s="4" t="e">
        <f>#REF!</f>
        <v>#REF!</v>
      </c>
      <c r="C16" s="4" t="e">
        <f>#REF!</f>
        <v>#REF!</v>
      </c>
      <c r="D16" s="4" t="e">
        <f>#REF!</f>
        <v>#REF!</v>
      </c>
      <c r="E16" s="4" t="e">
        <f>#REF!</f>
        <v>#REF!</v>
      </c>
      <c r="F16" s="4" t="e">
        <f>#REF!</f>
        <v>#REF!</v>
      </c>
      <c r="G16" s="4" t="e">
        <f>#REF!</f>
        <v>#REF!</v>
      </c>
      <c r="H16" s="4" t="e">
        <f>#REF!</f>
        <v>#REF!</v>
      </c>
      <c r="I16" s="4" t="e">
        <f>#REF!</f>
        <v>#REF!</v>
      </c>
      <c r="J16" s="4" t="e">
        <f>#REF!</f>
        <v>#REF!</v>
      </c>
      <c r="K16" s="4" t="e">
        <f>#REF!</f>
        <v>#REF!</v>
      </c>
      <c r="L16" s="4" t="e">
        <f>#REF!</f>
        <v>#REF!</v>
      </c>
      <c r="M16" s="4" t="e">
        <f>#REF!</f>
        <v>#REF!</v>
      </c>
      <c r="O16" s="4" t="e">
        <f t="shared" si="41"/>
        <v>#REF!</v>
      </c>
      <c r="P16" s="4" t="e">
        <f t="shared" si="42"/>
        <v>#REF!</v>
      </c>
      <c r="Q16" s="4" t="e">
        <f t="shared" si="43"/>
        <v>#REF!</v>
      </c>
      <c r="R16" s="4" t="e">
        <f t="shared" si="44"/>
        <v>#REF!</v>
      </c>
      <c r="T16" s="4" t="e">
        <f t="shared" si="45"/>
        <v>#REF!</v>
      </c>
      <c r="U16" s="4" t="e">
        <f t="shared" si="46"/>
        <v>#REF!</v>
      </c>
      <c r="V16" s="4" t="e">
        <f t="shared" si="47"/>
        <v>#REF!</v>
      </c>
      <c r="W16" s="4" t="e">
        <f t="shared" si="48"/>
        <v>#REF!</v>
      </c>
    </row>
    <row r="17" spans="1:23" x14ac:dyDescent="0.25">
      <c r="A17" s="4">
        <v>4</v>
      </c>
      <c r="B17" s="4" t="e">
        <f>#REF!</f>
        <v>#REF!</v>
      </c>
      <c r="C17" s="4" t="e">
        <f>#REF!</f>
        <v>#REF!</v>
      </c>
      <c r="D17" s="4" t="e">
        <f>#REF!</f>
        <v>#REF!</v>
      </c>
      <c r="E17" s="4" t="e">
        <f>#REF!</f>
        <v>#REF!</v>
      </c>
      <c r="F17" s="4" t="e">
        <f>#REF!</f>
        <v>#REF!</v>
      </c>
      <c r="G17" s="4" t="e">
        <f>#REF!</f>
        <v>#REF!</v>
      </c>
      <c r="H17" s="4" t="e">
        <f>#REF!</f>
        <v>#REF!</v>
      </c>
      <c r="I17" s="4" t="e">
        <f>#REF!</f>
        <v>#REF!</v>
      </c>
      <c r="J17" s="8" t="e">
        <f>#REF!</f>
        <v>#REF!</v>
      </c>
      <c r="K17" s="4" t="e">
        <f>#REF!</f>
        <v>#REF!</v>
      </c>
      <c r="L17" s="4" t="e">
        <f>#REF!</f>
        <v>#REF!</v>
      </c>
      <c r="M17" s="4" t="e">
        <f>#REF!</f>
        <v>#REF!</v>
      </c>
      <c r="O17" s="4" t="e">
        <f t="shared" si="41"/>
        <v>#REF!</v>
      </c>
      <c r="P17" s="4" t="e">
        <f t="shared" si="42"/>
        <v>#REF!</v>
      </c>
      <c r="Q17" s="4" t="e">
        <f t="shared" si="43"/>
        <v>#REF!</v>
      </c>
      <c r="R17" s="4" t="e">
        <f t="shared" si="44"/>
        <v>#REF!</v>
      </c>
      <c r="T17" s="4" t="e">
        <f t="shared" si="45"/>
        <v>#REF!</v>
      </c>
      <c r="U17" s="4" t="e">
        <f t="shared" si="46"/>
        <v>#REF!</v>
      </c>
      <c r="V17" s="4" t="e">
        <f t="shared" si="47"/>
        <v>#REF!</v>
      </c>
      <c r="W17" s="4" t="e">
        <f t="shared" si="48"/>
        <v>#REF!</v>
      </c>
    </row>
    <row r="18" spans="1:23" x14ac:dyDescent="0.25">
      <c r="A18" s="4">
        <v>5</v>
      </c>
      <c r="B18" s="4" t="e">
        <f>#REF!</f>
        <v>#REF!</v>
      </c>
      <c r="C18" s="4" t="e">
        <f>#REF!</f>
        <v>#REF!</v>
      </c>
      <c r="D18" s="4" t="e">
        <f>#REF!</f>
        <v>#REF!</v>
      </c>
      <c r="E18" s="4" t="e">
        <f>#REF!</f>
        <v>#REF!</v>
      </c>
      <c r="F18" s="4" t="e">
        <f>#REF!</f>
        <v>#REF!</v>
      </c>
      <c r="G18" s="4" t="e">
        <f>#REF!</f>
        <v>#REF!</v>
      </c>
      <c r="H18" s="4" t="e">
        <f>#REF!</f>
        <v>#REF!</v>
      </c>
      <c r="I18" s="4" t="e">
        <f>#REF!</f>
        <v>#REF!</v>
      </c>
      <c r="J18" s="4" t="e">
        <f>#REF!</f>
        <v>#REF!</v>
      </c>
      <c r="K18" s="4" t="e">
        <f>#REF!</f>
        <v>#REF!</v>
      </c>
      <c r="L18" s="4" t="e">
        <f>#REF!</f>
        <v>#REF!</v>
      </c>
      <c r="M18" s="4" t="e">
        <f>#REF!</f>
        <v>#REF!</v>
      </c>
      <c r="O18" s="4" t="e">
        <f>AVERAGE(B18:D18)</f>
        <v>#REF!</v>
      </c>
      <c r="P18" s="4" t="e">
        <f t="shared" si="42"/>
        <v>#REF!</v>
      </c>
      <c r="Q18" s="4" t="e">
        <f t="shared" si="43"/>
        <v>#REF!</v>
      </c>
      <c r="R18" s="4" t="e">
        <f t="shared" si="44"/>
        <v>#REF!</v>
      </c>
      <c r="T18" s="4" t="e">
        <f t="shared" si="45"/>
        <v>#REF!</v>
      </c>
      <c r="U18" s="4" t="e">
        <f t="shared" si="46"/>
        <v>#REF!</v>
      </c>
      <c r="V18" s="4" t="e">
        <f t="shared" si="47"/>
        <v>#REF!</v>
      </c>
      <c r="W18" s="4" t="e">
        <f t="shared" si="48"/>
        <v>#REF!</v>
      </c>
    </row>
    <row r="20" spans="1:23" x14ac:dyDescent="0.25">
      <c r="A20" s="4" t="s">
        <v>211</v>
      </c>
      <c r="O20" s="4" t="s">
        <v>80</v>
      </c>
    </row>
    <row r="21" spans="1:23" x14ac:dyDescent="0.25">
      <c r="A21" s="4" t="s">
        <v>83</v>
      </c>
      <c r="B21" s="4" t="s">
        <v>38</v>
      </c>
      <c r="C21" s="4" t="s">
        <v>39</v>
      </c>
      <c r="D21" s="4" t="s">
        <v>40</v>
      </c>
      <c r="E21" s="4" t="s">
        <v>41</v>
      </c>
      <c r="F21" s="4" t="s">
        <v>42</v>
      </c>
      <c r="G21" s="4" t="s">
        <v>43</v>
      </c>
      <c r="H21" s="4" t="s">
        <v>44</v>
      </c>
      <c r="I21" s="4" t="s">
        <v>45</v>
      </c>
      <c r="J21" s="4" t="s">
        <v>46</v>
      </c>
      <c r="K21" s="4" t="s">
        <v>47</v>
      </c>
      <c r="L21" s="4" t="s">
        <v>48</v>
      </c>
      <c r="M21" s="4" t="s">
        <v>49</v>
      </c>
      <c r="O21" s="4" t="s">
        <v>206</v>
      </c>
      <c r="P21" s="4" t="s">
        <v>213</v>
      </c>
      <c r="Q21" s="4" t="s">
        <v>214</v>
      </c>
      <c r="R21" s="4" t="s">
        <v>215</v>
      </c>
      <c r="T21" s="4" t="s">
        <v>206</v>
      </c>
      <c r="U21" s="4" t="s">
        <v>213</v>
      </c>
      <c r="V21" s="4" t="s">
        <v>214</v>
      </c>
      <c r="W21" s="4" t="s">
        <v>215</v>
      </c>
    </row>
    <row r="22" spans="1:23" x14ac:dyDescent="0.25">
      <c r="A22" s="4">
        <v>0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O22" s="4">
        <f>AVERAGE(B22:D22)</f>
        <v>0</v>
      </c>
      <c r="P22" s="4">
        <f>AVERAGE(E22:G22)</f>
        <v>0</v>
      </c>
      <c r="Q22" s="4">
        <f>AVERAGE(H22:J22)</f>
        <v>0</v>
      </c>
      <c r="R22" s="4">
        <f>AVERAGE(K22:M22)</f>
        <v>0</v>
      </c>
      <c r="T22" s="4">
        <f>STDEV(B22:D22)/SQRT(3)*4.303</f>
        <v>0</v>
      </c>
      <c r="U22" s="4">
        <f>STDEV(E22:G22)/SQRT(3)*4.303</f>
        <v>0</v>
      </c>
      <c r="V22" s="4">
        <f>STDEV(H22:J22)/SQRT(3)*4.303</f>
        <v>0</v>
      </c>
      <c r="W22" s="4">
        <f>STDEV(K22:M22)/SQRT(3)*4.303</f>
        <v>0</v>
      </c>
    </row>
    <row r="23" spans="1:23" x14ac:dyDescent="0.25">
      <c r="A23" s="4">
        <v>1</v>
      </c>
      <c r="B23" s="8" t="e">
        <f>#REF!</f>
        <v>#REF!</v>
      </c>
      <c r="C23" s="8" t="e">
        <f>#REF!</f>
        <v>#REF!</v>
      </c>
      <c r="D23" s="8" t="e">
        <f>#REF!</f>
        <v>#REF!</v>
      </c>
      <c r="E23" s="8" t="e">
        <f>#REF!</f>
        <v>#REF!</v>
      </c>
      <c r="F23" s="8" t="e">
        <f>#REF!</f>
        <v>#REF!</v>
      </c>
      <c r="G23" s="8" t="e">
        <f>#REF!</f>
        <v>#REF!</v>
      </c>
      <c r="H23" s="8" t="e">
        <f>#REF!</f>
        <v>#REF!</v>
      </c>
      <c r="I23" s="8" t="e">
        <f>#REF!</f>
        <v>#REF!</v>
      </c>
      <c r="J23" s="8" t="e">
        <f>#REF!</f>
        <v>#REF!</v>
      </c>
      <c r="K23" s="8" t="e">
        <f>#REF!</f>
        <v>#REF!</v>
      </c>
      <c r="L23" s="8" t="e">
        <f>#REF!</f>
        <v>#REF!</v>
      </c>
      <c r="M23" s="8" t="e">
        <f>#REF!</f>
        <v>#REF!</v>
      </c>
      <c r="O23" s="4" t="e">
        <f t="shared" ref="O23:O26" si="49">AVERAGE(B23:D23)</f>
        <v>#REF!</v>
      </c>
      <c r="P23" s="4" t="e">
        <f t="shared" ref="P23:P27" si="50">AVERAGE(E23:G23)</f>
        <v>#REF!</v>
      </c>
      <c r="Q23" s="4" t="e">
        <f t="shared" ref="Q23:Q27" si="51">AVERAGE(H23:J23)</f>
        <v>#REF!</v>
      </c>
      <c r="R23" s="4" t="e">
        <f t="shared" ref="R23:R27" si="52">AVERAGE(K23:M23)</f>
        <v>#REF!</v>
      </c>
      <c r="T23" s="4" t="e">
        <f t="shared" ref="T23:T27" si="53">STDEV(B23:D23)/SQRT(3)*4.303</f>
        <v>#REF!</v>
      </c>
      <c r="U23" s="4" t="e">
        <f t="shared" ref="U23:U27" si="54">STDEV(E23:G23)/SQRT(3)*4.303</f>
        <v>#REF!</v>
      </c>
      <c r="V23" s="4" t="e">
        <f t="shared" ref="V23:V27" si="55">STDEV(H23:J23)/SQRT(3)*4.303</f>
        <v>#REF!</v>
      </c>
      <c r="W23" s="4" t="e">
        <f t="shared" ref="W23:W27" si="56">STDEV(K23:M23)/SQRT(3)*4.303</f>
        <v>#REF!</v>
      </c>
    </row>
    <row r="24" spans="1:23" x14ac:dyDescent="0.25">
      <c r="A24" s="4">
        <v>2</v>
      </c>
      <c r="B24" s="8" t="e">
        <f>#REF!</f>
        <v>#REF!</v>
      </c>
      <c r="C24" s="8" t="e">
        <f>#REF!</f>
        <v>#REF!</v>
      </c>
      <c r="D24" s="8" t="e">
        <f>#REF!</f>
        <v>#REF!</v>
      </c>
      <c r="E24" s="8" t="e">
        <f>#REF!</f>
        <v>#REF!</v>
      </c>
      <c r="F24" s="8" t="e">
        <f>#REF!</f>
        <v>#REF!</v>
      </c>
      <c r="G24" s="8" t="e">
        <f>#REF!</f>
        <v>#REF!</v>
      </c>
      <c r="H24" s="8" t="e">
        <f>#REF!</f>
        <v>#REF!</v>
      </c>
      <c r="I24" s="8" t="e">
        <f>#REF!</f>
        <v>#REF!</v>
      </c>
      <c r="J24" s="8" t="e">
        <f>#REF!</f>
        <v>#REF!</v>
      </c>
      <c r="K24" s="8" t="e">
        <f>#REF!</f>
        <v>#REF!</v>
      </c>
      <c r="L24" s="8" t="e">
        <f>#REF!</f>
        <v>#REF!</v>
      </c>
      <c r="M24" s="8" t="e">
        <f>#REF!</f>
        <v>#REF!</v>
      </c>
      <c r="O24" s="4" t="e">
        <f t="shared" si="49"/>
        <v>#REF!</v>
      </c>
      <c r="P24" s="4" t="e">
        <f t="shared" si="50"/>
        <v>#REF!</v>
      </c>
      <c r="Q24" s="4" t="e">
        <f t="shared" si="51"/>
        <v>#REF!</v>
      </c>
      <c r="R24" s="4" t="e">
        <f t="shared" si="52"/>
        <v>#REF!</v>
      </c>
      <c r="T24" s="4" t="e">
        <f t="shared" si="53"/>
        <v>#REF!</v>
      </c>
      <c r="U24" s="4" t="e">
        <f t="shared" si="54"/>
        <v>#REF!</v>
      </c>
      <c r="V24" s="4" t="e">
        <f t="shared" si="55"/>
        <v>#REF!</v>
      </c>
      <c r="W24" s="4" t="e">
        <f t="shared" si="56"/>
        <v>#REF!</v>
      </c>
    </row>
    <row r="25" spans="1:23" x14ac:dyDescent="0.25">
      <c r="A25" s="4">
        <v>3</v>
      </c>
      <c r="B25" s="8" t="e">
        <f>#REF!</f>
        <v>#REF!</v>
      </c>
      <c r="C25" s="8" t="e">
        <f>#REF!</f>
        <v>#REF!</v>
      </c>
      <c r="D25" s="8" t="e">
        <f>#REF!</f>
        <v>#REF!</v>
      </c>
      <c r="E25" s="8" t="e">
        <f>#REF!</f>
        <v>#REF!</v>
      </c>
      <c r="F25" s="8" t="e">
        <f>#REF!</f>
        <v>#REF!</v>
      </c>
      <c r="G25" s="8" t="e">
        <f>#REF!</f>
        <v>#REF!</v>
      </c>
      <c r="H25" s="8" t="e">
        <f>#REF!</f>
        <v>#REF!</v>
      </c>
      <c r="I25" s="8" t="e">
        <f>#REF!</f>
        <v>#REF!</v>
      </c>
      <c r="J25" s="8" t="e">
        <f>#REF!</f>
        <v>#REF!</v>
      </c>
      <c r="K25" s="8" t="e">
        <f>#REF!</f>
        <v>#REF!</v>
      </c>
      <c r="L25" s="8" t="e">
        <f>#REF!</f>
        <v>#REF!</v>
      </c>
      <c r="M25" s="8" t="e">
        <f>#REF!</f>
        <v>#REF!</v>
      </c>
      <c r="O25" s="4" t="e">
        <f t="shared" si="49"/>
        <v>#REF!</v>
      </c>
      <c r="P25" s="4" t="e">
        <f t="shared" si="50"/>
        <v>#REF!</v>
      </c>
      <c r="Q25" s="4" t="e">
        <f t="shared" si="51"/>
        <v>#REF!</v>
      </c>
      <c r="R25" s="4" t="e">
        <f t="shared" si="52"/>
        <v>#REF!</v>
      </c>
      <c r="T25" s="4" t="e">
        <f t="shared" si="53"/>
        <v>#REF!</v>
      </c>
      <c r="U25" s="4" t="e">
        <f t="shared" si="54"/>
        <v>#REF!</v>
      </c>
      <c r="V25" s="4" t="e">
        <f t="shared" si="55"/>
        <v>#REF!</v>
      </c>
      <c r="W25" s="4" t="e">
        <f t="shared" si="56"/>
        <v>#REF!</v>
      </c>
    </row>
    <row r="26" spans="1:23" x14ac:dyDescent="0.25">
      <c r="A26" s="4">
        <v>4</v>
      </c>
      <c r="B26" s="8" t="e">
        <f>#REF!</f>
        <v>#REF!</v>
      </c>
      <c r="C26" s="8" t="e">
        <f>#REF!</f>
        <v>#REF!</v>
      </c>
      <c r="D26" s="8" t="e">
        <f>#REF!</f>
        <v>#REF!</v>
      </c>
      <c r="E26" s="8" t="e">
        <f>#REF!</f>
        <v>#REF!</v>
      </c>
      <c r="F26" s="8" t="e">
        <f>#REF!</f>
        <v>#REF!</v>
      </c>
      <c r="G26" s="8" t="e">
        <f>#REF!</f>
        <v>#REF!</v>
      </c>
      <c r="H26" s="8" t="e">
        <f>#REF!</f>
        <v>#REF!</v>
      </c>
      <c r="I26" s="8" t="e">
        <f>#REF!</f>
        <v>#REF!</v>
      </c>
      <c r="J26" s="8" t="e">
        <f>#REF!</f>
        <v>#REF!</v>
      </c>
      <c r="K26" s="8" t="e">
        <f>#REF!</f>
        <v>#REF!</v>
      </c>
      <c r="L26" s="8" t="e">
        <f>#REF!</f>
        <v>#REF!</v>
      </c>
      <c r="M26" s="8" t="e">
        <f>#REF!</f>
        <v>#REF!</v>
      </c>
      <c r="O26" s="4" t="e">
        <f t="shared" si="49"/>
        <v>#REF!</v>
      </c>
      <c r="P26" s="4" t="e">
        <f t="shared" si="50"/>
        <v>#REF!</v>
      </c>
      <c r="Q26" s="4" t="e">
        <f t="shared" si="51"/>
        <v>#REF!</v>
      </c>
      <c r="R26" s="4" t="e">
        <f t="shared" si="52"/>
        <v>#REF!</v>
      </c>
      <c r="T26" s="4" t="e">
        <f t="shared" si="53"/>
        <v>#REF!</v>
      </c>
      <c r="U26" s="4" t="e">
        <f t="shared" si="54"/>
        <v>#REF!</v>
      </c>
      <c r="V26" s="4" t="e">
        <f t="shared" si="55"/>
        <v>#REF!</v>
      </c>
      <c r="W26" s="4" t="e">
        <f t="shared" si="56"/>
        <v>#REF!</v>
      </c>
    </row>
    <row r="27" spans="1:23" x14ac:dyDescent="0.25">
      <c r="A27" s="4">
        <v>5</v>
      </c>
      <c r="B27" s="8" t="e">
        <f>#REF!</f>
        <v>#REF!</v>
      </c>
      <c r="C27" s="8" t="e">
        <f>#REF!</f>
        <v>#REF!</v>
      </c>
      <c r="D27" s="8" t="e">
        <f>#REF!</f>
        <v>#REF!</v>
      </c>
      <c r="E27" s="8" t="e">
        <f>#REF!</f>
        <v>#REF!</v>
      </c>
      <c r="F27" s="8" t="e">
        <f>#REF!</f>
        <v>#REF!</v>
      </c>
      <c r="G27" s="8" t="e">
        <f>#REF!</f>
        <v>#REF!</v>
      </c>
      <c r="H27" s="8" t="e">
        <f>#REF!</f>
        <v>#REF!</v>
      </c>
      <c r="I27" s="8" t="e">
        <f>#REF!</f>
        <v>#REF!</v>
      </c>
      <c r="J27" s="8" t="e">
        <f>#REF!</f>
        <v>#REF!</v>
      </c>
      <c r="K27" s="8" t="e">
        <f>#REF!</f>
        <v>#REF!</v>
      </c>
      <c r="L27" s="8" t="e">
        <f>#REF!</f>
        <v>#REF!</v>
      </c>
      <c r="M27" s="8" t="e">
        <f>#REF!</f>
        <v>#REF!</v>
      </c>
      <c r="O27" s="4" t="e">
        <f>AVERAGE(B27:D27)</f>
        <v>#REF!</v>
      </c>
      <c r="P27" s="4" t="e">
        <f t="shared" si="50"/>
        <v>#REF!</v>
      </c>
      <c r="Q27" s="4" t="e">
        <f t="shared" si="51"/>
        <v>#REF!</v>
      </c>
      <c r="R27" s="4" t="e">
        <f t="shared" si="52"/>
        <v>#REF!</v>
      </c>
      <c r="T27" s="4" t="e">
        <f t="shared" si="53"/>
        <v>#REF!</v>
      </c>
      <c r="U27" s="4" t="e">
        <f t="shared" si="54"/>
        <v>#REF!</v>
      </c>
      <c r="V27" s="4" t="e">
        <f t="shared" si="55"/>
        <v>#REF!</v>
      </c>
      <c r="W27" s="4" t="e">
        <f t="shared" si="56"/>
        <v>#REF!</v>
      </c>
    </row>
    <row r="29" spans="1:23" x14ac:dyDescent="0.25">
      <c r="A29" s="4" t="s">
        <v>212</v>
      </c>
      <c r="O29" s="4" t="s">
        <v>80</v>
      </c>
    </row>
    <row r="30" spans="1:23" x14ac:dyDescent="0.25">
      <c r="A30" s="4" t="s">
        <v>83</v>
      </c>
      <c r="B30" s="4" t="s">
        <v>38</v>
      </c>
      <c r="C30" s="4" t="s">
        <v>39</v>
      </c>
      <c r="D30" s="4" t="s">
        <v>40</v>
      </c>
      <c r="E30" s="4" t="s">
        <v>41</v>
      </c>
      <c r="F30" s="4" t="s">
        <v>42</v>
      </c>
      <c r="G30" s="4" t="s">
        <v>43</v>
      </c>
      <c r="H30" s="4" t="s">
        <v>44</v>
      </c>
      <c r="I30" s="4" t="s">
        <v>45</v>
      </c>
      <c r="J30" s="4" t="s">
        <v>46</v>
      </c>
      <c r="K30" s="4" t="s">
        <v>47</v>
      </c>
      <c r="L30" s="4" t="s">
        <v>48</v>
      </c>
      <c r="M30" s="4" t="s">
        <v>49</v>
      </c>
      <c r="O30" s="4" t="s">
        <v>206</v>
      </c>
      <c r="P30" s="4" t="s">
        <v>213</v>
      </c>
      <c r="Q30" s="4" t="s">
        <v>214</v>
      </c>
      <c r="R30" s="4" t="s">
        <v>215</v>
      </c>
      <c r="T30" s="4" t="s">
        <v>206</v>
      </c>
      <c r="U30" s="4" t="s">
        <v>213</v>
      </c>
      <c r="V30" s="4" t="s">
        <v>214</v>
      </c>
      <c r="W30" s="4" t="s">
        <v>215</v>
      </c>
    </row>
    <row r="31" spans="1:23" x14ac:dyDescent="0.25">
      <c r="A31" s="4">
        <v>0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 t="e">
        <f>#REF!</f>
        <v>#REF!</v>
      </c>
      <c r="I31" s="4" t="e">
        <f>#REF!</f>
        <v>#REF!</v>
      </c>
      <c r="J31" s="4" t="e">
        <f>#REF!</f>
        <v>#REF!</v>
      </c>
      <c r="K31" s="4" t="e">
        <f>#REF!</f>
        <v>#REF!</v>
      </c>
      <c r="L31" s="4" t="e">
        <f>#REF!</f>
        <v>#REF!</v>
      </c>
      <c r="M31" s="4" t="e">
        <f>#REF!</f>
        <v>#REF!</v>
      </c>
      <c r="O31" s="4">
        <f>AVERAGE(B31:D31)</f>
        <v>0</v>
      </c>
      <c r="P31" s="4">
        <f>AVERAGE(E31:G31)</f>
        <v>0</v>
      </c>
      <c r="Q31" s="4" t="e">
        <f>AVERAGE(H31:J31)</f>
        <v>#REF!</v>
      </c>
      <c r="R31" s="4" t="e">
        <f>AVERAGE(K31:M31)</f>
        <v>#REF!</v>
      </c>
      <c r="T31" s="4">
        <f>STDEV(B31:D31)/SQRT(3)*4.303</f>
        <v>0</v>
      </c>
      <c r="U31" s="4">
        <f>STDEV(E31:G31)/SQRT(3)*4.303</f>
        <v>0</v>
      </c>
      <c r="V31" s="4" t="e">
        <f>STDEV(H31:J31)/SQRT(3)*4.303</f>
        <v>#REF!</v>
      </c>
      <c r="W31" s="4" t="e">
        <f>STDEV(K31:M31)/SQRT(3)*4.303</f>
        <v>#REF!</v>
      </c>
    </row>
    <row r="32" spans="1:23" x14ac:dyDescent="0.25">
      <c r="A32" s="4">
        <v>1</v>
      </c>
      <c r="B32" s="4" t="e">
        <f>#REF!</f>
        <v>#REF!</v>
      </c>
      <c r="C32" s="4" t="e">
        <f>#REF!</f>
        <v>#REF!</v>
      </c>
      <c r="D32" s="4" t="e">
        <f>#REF!</f>
        <v>#REF!</v>
      </c>
      <c r="E32" s="4" t="e">
        <f>#REF!</f>
        <v>#REF!</v>
      </c>
      <c r="F32" s="4" t="e">
        <f>#REF!</f>
        <v>#REF!</v>
      </c>
      <c r="G32" s="4" t="e">
        <f>#REF!</f>
        <v>#REF!</v>
      </c>
      <c r="H32" s="4" t="e">
        <f>#REF!</f>
        <v>#REF!</v>
      </c>
      <c r="I32" s="4" t="e">
        <f>#REF!</f>
        <v>#REF!</v>
      </c>
      <c r="J32" s="4" t="e">
        <f>#REF!</f>
        <v>#REF!</v>
      </c>
      <c r="K32" s="4" t="e">
        <f>#REF!</f>
        <v>#REF!</v>
      </c>
      <c r="L32" s="4" t="e">
        <f>#REF!</f>
        <v>#REF!</v>
      </c>
      <c r="M32" s="4" t="e">
        <f>#REF!</f>
        <v>#REF!</v>
      </c>
      <c r="O32" s="4" t="e">
        <f t="shared" ref="O32:O36" si="57">AVERAGE(B32:D32)</f>
        <v>#REF!</v>
      </c>
      <c r="P32" s="4" t="e">
        <f t="shared" ref="P32:P36" si="58">AVERAGE(E32:G32)</f>
        <v>#REF!</v>
      </c>
      <c r="Q32" s="4" t="e">
        <f t="shared" ref="Q32:Q36" si="59">AVERAGE(H32:J32)</f>
        <v>#REF!</v>
      </c>
      <c r="R32" s="4" t="e">
        <f t="shared" ref="R32:R36" si="60">AVERAGE(K32:M32)</f>
        <v>#REF!</v>
      </c>
      <c r="T32" s="4" t="e">
        <f t="shared" ref="T32:T36" si="61">STDEV(B32:D32)/SQRT(3)*4.303</f>
        <v>#REF!</v>
      </c>
      <c r="U32" s="4" t="e">
        <f t="shared" ref="U32:U36" si="62">STDEV(E32:G32)/SQRT(3)*4.303</f>
        <v>#REF!</v>
      </c>
      <c r="V32" s="4" t="e">
        <f t="shared" ref="V32:V36" si="63">STDEV(H32:J32)/SQRT(3)*4.303</f>
        <v>#REF!</v>
      </c>
      <c r="W32" s="4" t="e">
        <f t="shared" ref="W32:W36" si="64">STDEV(K32:M32)/SQRT(3)*4.303</f>
        <v>#REF!</v>
      </c>
    </row>
    <row r="33" spans="1:23" x14ac:dyDescent="0.25">
      <c r="A33" s="4">
        <v>2</v>
      </c>
      <c r="B33" s="4" t="e">
        <f>#REF!</f>
        <v>#REF!</v>
      </c>
      <c r="C33" s="4" t="e">
        <f>#REF!</f>
        <v>#REF!</v>
      </c>
      <c r="D33" s="4" t="e">
        <f>#REF!</f>
        <v>#REF!</v>
      </c>
      <c r="E33" s="4" t="e">
        <f>#REF!</f>
        <v>#REF!</v>
      </c>
      <c r="F33" s="4" t="e">
        <f>#REF!</f>
        <v>#REF!</v>
      </c>
      <c r="G33" s="4" t="e">
        <f>#REF!</f>
        <v>#REF!</v>
      </c>
      <c r="H33" s="4" t="e">
        <f>#REF!</f>
        <v>#REF!</v>
      </c>
      <c r="I33" s="4" t="e">
        <f>#REF!</f>
        <v>#REF!</v>
      </c>
      <c r="J33" s="4" t="e">
        <f>#REF!</f>
        <v>#REF!</v>
      </c>
      <c r="K33" s="4" t="e">
        <f>#REF!</f>
        <v>#REF!</v>
      </c>
      <c r="L33" s="4" t="e">
        <f>#REF!</f>
        <v>#REF!</v>
      </c>
      <c r="M33" s="4" t="e">
        <f>#REF!</f>
        <v>#REF!</v>
      </c>
      <c r="O33" s="4" t="e">
        <f t="shared" si="57"/>
        <v>#REF!</v>
      </c>
      <c r="P33" s="4" t="e">
        <f t="shared" si="58"/>
        <v>#REF!</v>
      </c>
      <c r="Q33" s="4" t="e">
        <f t="shared" si="59"/>
        <v>#REF!</v>
      </c>
      <c r="R33" s="4" t="e">
        <f t="shared" si="60"/>
        <v>#REF!</v>
      </c>
      <c r="T33" s="4" t="e">
        <f t="shared" si="61"/>
        <v>#REF!</v>
      </c>
      <c r="U33" s="4" t="e">
        <f t="shared" si="62"/>
        <v>#REF!</v>
      </c>
      <c r="V33" s="4" t="e">
        <f t="shared" si="63"/>
        <v>#REF!</v>
      </c>
      <c r="W33" s="4" t="e">
        <f t="shared" si="64"/>
        <v>#REF!</v>
      </c>
    </row>
    <row r="34" spans="1:23" x14ac:dyDescent="0.25">
      <c r="A34" s="4">
        <v>3</v>
      </c>
      <c r="B34" s="4" t="e">
        <f>#REF!</f>
        <v>#REF!</v>
      </c>
      <c r="C34" s="4" t="e">
        <f>#REF!</f>
        <v>#REF!</v>
      </c>
      <c r="D34" s="4" t="e">
        <f>#REF!</f>
        <v>#REF!</v>
      </c>
      <c r="E34" s="4" t="e">
        <f>#REF!</f>
        <v>#REF!</v>
      </c>
      <c r="F34" s="4" t="e">
        <f>#REF!</f>
        <v>#REF!</v>
      </c>
      <c r="G34" s="4" t="e">
        <f>#REF!</f>
        <v>#REF!</v>
      </c>
      <c r="H34" s="4" t="e">
        <f>#REF!</f>
        <v>#REF!</v>
      </c>
      <c r="I34" s="4" t="e">
        <f>#REF!</f>
        <v>#REF!</v>
      </c>
      <c r="J34" s="4" t="e">
        <f>#REF!</f>
        <v>#REF!</v>
      </c>
      <c r="K34" s="4" t="e">
        <f>#REF!</f>
        <v>#REF!</v>
      </c>
      <c r="L34" s="4" t="e">
        <f>#REF!</f>
        <v>#REF!</v>
      </c>
      <c r="M34" s="4" t="e">
        <f>#REF!</f>
        <v>#REF!</v>
      </c>
      <c r="O34" s="4" t="e">
        <f t="shared" si="57"/>
        <v>#REF!</v>
      </c>
      <c r="P34" s="4" t="e">
        <f t="shared" si="58"/>
        <v>#REF!</v>
      </c>
      <c r="Q34" s="4" t="e">
        <f t="shared" si="59"/>
        <v>#REF!</v>
      </c>
      <c r="R34" s="4" t="e">
        <f t="shared" si="60"/>
        <v>#REF!</v>
      </c>
      <c r="T34" s="4" t="e">
        <f t="shared" si="61"/>
        <v>#REF!</v>
      </c>
      <c r="U34" s="4" t="e">
        <f t="shared" si="62"/>
        <v>#REF!</v>
      </c>
      <c r="V34" s="4" t="e">
        <f t="shared" si="63"/>
        <v>#REF!</v>
      </c>
      <c r="W34" s="4" t="e">
        <f t="shared" si="64"/>
        <v>#REF!</v>
      </c>
    </row>
    <row r="35" spans="1:23" x14ac:dyDescent="0.25">
      <c r="A35" s="4">
        <v>4</v>
      </c>
      <c r="B35" s="4" t="e">
        <f>#REF!</f>
        <v>#REF!</v>
      </c>
      <c r="C35" s="4" t="e">
        <f>#REF!</f>
        <v>#REF!</v>
      </c>
      <c r="D35" s="4" t="e">
        <f>#REF!</f>
        <v>#REF!</v>
      </c>
      <c r="E35" s="4" t="e">
        <f>#REF!</f>
        <v>#REF!</v>
      </c>
      <c r="F35" s="4" t="e">
        <f>#REF!</f>
        <v>#REF!</v>
      </c>
      <c r="G35" s="4" t="e">
        <f>#REF!</f>
        <v>#REF!</v>
      </c>
      <c r="H35" s="4" t="e">
        <f>#REF!</f>
        <v>#REF!</v>
      </c>
      <c r="I35" s="4" t="e">
        <f>#REF!</f>
        <v>#REF!</v>
      </c>
      <c r="J35" s="4" t="e">
        <f>#REF!</f>
        <v>#REF!</v>
      </c>
      <c r="K35" s="4" t="e">
        <f>#REF!</f>
        <v>#REF!</v>
      </c>
      <c r="L35" s="4" t="e">
        <f>#REF!</f>
        <v>#REF!</v>
      </c>
      <c r="M35" s="4" t="e">
        <f>#REF!</f>
        <v>#REF!</v>
      </c>
      <c r="O35" s="4" t="e">
        <f t="shared" si="57"/>
        <v>#REF!</v>
      </c>
      <c r="P35" s="4" t="e">
        <f t="shared" si="58"/>
        <v>#REF!</v>
      </c>
      <c r="Q35" s="4" t="e">
        <f t="shared" si="59"/>
        <v>#REF!</v>
      </c>
      <c r="R35" s="4" t="e">
        <f t="shared" si="60"/>
        <v>#REF!</v>
      </c>
      <c r="T35" s="4" t="e">
        <f t="shared" si="61"/>
        <v>#REF!</v>
      </c>
      <c r="U35" s="4" t="e">
        <f t="shared" si="62"/>
        <v>#REF!</v>
      </c>
      <c r="V35" s="4" t="e">
        <f t="shared" si="63"/>
        <v>#REF!</v>
      </c>
      <c r="W35" s="4" t="e">
        <f t="shared" si="64"/>
        <v>#REF!</v>
      </c>
    </row>
    <row r="36" spans="1:23" x14ac:dyDescent="0.25">
      <c r="A36" s="4">
        <v>5</v>
      </c>
      <c r="B36" s="4" t="e">
        <f>#REF!</f>
        <v>#REF!</v>
      </c>
      <c r="C36" s="4" t="e">
        <f>#REF!</f>
        <v>#REF!</v>
      </c>
      <c r="D36" s="4" t="e">
        <f>#REF!</f>
        <v>#REF!</v>
      </c>
      <c r="E36" s="4" t="e">
        <f>#REF!</f>
        <v>#REF!</v>
      </c>
      <c r="F36" s="4" t="e">
        <f>#REF!</f>
        <v>#REF!</v>
      </c>
      <c r="G36" s="4" t="e">
        <f>#REF!</f>
        <v>#REF!</v>
      </c>
      <c r="H36" s="4" t="e">
        <f>#REF!</f>
        <v>#REF!</v>
      </c>
      <c r="I36" s="4" t="e">
        <f>#REF!</f>
        <v>#REF!</v>
      </c>
      <c r="J36" s="4" t="e">
        <f>#REF!</f>
        <v>#REF!</v>
      </c>
      <c r="K36" s="4" t="e">
        <f>#REF!</f>
        <v>#REF!</v>
      </c>
      <c r="L36" s="4" t="e">
        <f>#REF!</f>
        <v>#REF!</v>
      </c>
      <c r="M36" s="4" t="e">
        <f>#REF!</f>
        <v>#REF!</v>
      </c>
      <c r="O36" s="4" t="e">
        <f t="shared" si="57"/>
        <v>#REF!</v>
      </c>
      <c r="P36" s="4" t="e">
        <f t="shared" si="58"/>
        <v>#REF!</v>
      </c>
      <c r="Q36" s="4" t="e">
        <f t="shared" si="59"/>
        <v>#REF!</v>
      </c>
      <c r="R36" s="4" t="e">
        <f t="shared" si="60"/>
        <v>#REF!</v>
      </c>
      <c r="T36" s="4" t="e">
        <f t="shared" si="61"/>
        <v>#REF!</v>
      </c>
      <c r="U36" s="4" t="e">
        <f t="shared" si="62"/>
        <v>#REF!</v>
      </c>
      <c r="V36" s="4" t="e">
        <f t="shared" si="63"/>
        <v>#REF!</v>
      </c>
      <c r="W36" s="4" t="e">
        <f t="shared" si="64"/>
        <v>#REF!</v>
      </c>
    </row>
    <row r="38" spans="1:23" x14ac:dyDescent="0.25">
      <c r="A38" s="21" t="s">
        <v>112</v>
      </c>
    </row>
    <row r="39" spans="1:23" x14ac:dyDescent="0.25">
      <c r="A39" s="16" t="s">
        <v>84</v>
      </c>
    </row>
    <row r="60" spans="1:13" x14ac:dyDescent="0.25">
      <c r="A60" s="4" t="s">
        <v>122</v>
      </c>
    </row>
    <row r="61" spans="1:13" x14ac:dyDescent="0.25">
      <c r="A61" s="4" t="s">
        <v>83</v>
      </c>
      <c r="B61" s="4" t="s">
        <v>38</v>
      </c>
      <c r="C61" s="4" t="s">
        <v>39</v>
      </c>
      <c r="D61" s="4" t="s">
        <v>40</v>
      </c>
      <c r="E61" s="4" t="s">
        <v>41</v>
      </c>
      <c r="F61" s="4" t="s">
        <v>42</v>
      </c>
      <c r="G61" s="4" t="s">
        <v>43</v>
      </c>
      <c r="H61" s="4" t="s">
        <v>44</v>
      </c>
      <c r="I61" s="4" t="s">
        <v>45</v>
      </c>
      <c r="J61" s="4" t="s">
        <v>46</v>
      </c>
      <c r="K61" s="4" t="s">
        <v>47</v>
      </c>
      <c r="L61" s="4" t="s">
        <v>48</v>
      </c>
      <c r="M61" s="4" t="s">
        <v>49</v>
      </c>
    </row>
    <row r="62" spans="1:13" x14ac:dyDescent="0.25">
      <c r="A62" s="4">
        <v>1</v>
      </c>
    </row>
    <row r="63" spans="1:13" x14ac:dyDescent="0.25">
      <c r="A63" s="4" t="s">
        <v>121</v>
      </c>
      <c r="B63" s="4" t="e">
        <f>#REF!</f>
        <v>#REF!</v>
      </c>
    </row>
    <row r="64" spans="1:13" x14ac:dyDescent="0.25">
      <c r="A64" s="4" t="s">
        <v>113</v>
      </c>
    </row>
    <row r="65" spans="1:13" x14ac:dyDescent="0.25">
      <c r="A65" s="4" t="s">
        <v>123</v>
      </c>
    </row>
    <row r="66" spans="1:13" x14ac:dyDescent="0.25">
      <c r="A66" s="4" t="s">
        <v>115</v>
      </c>
    </row>
    <row r="67" spans="1:13" x14ac:dyDescent="0.25">
      <c r="A67" s="4">
        <v>2</v>
      </c>
    </row>
    <row r="68" spans="1:13" x14ac:dyDescent="0.25">
      <c r="A68" s="4" t="s">
        <v>121</v>
      </c>
      <c r="B68" s="4" t="e">
        <f>#REF!</f>
        <v>#REF!</v>
      </c>
      <c r="C68" s="4" t="e">
        <f>#REF!</f>
        <v>#REF!</v>
      </c>
      <c r="D68" s="4" t="e">
        <f>#REF!</f>
        <v>#REF!</v>
      </c>
      <c r="E68" s="4" t="e">
        <f>#REF!</f>
        <v>#REF!</v>
      </c>
      <c r="F68" s="4" t="e">
        <f>#REF!</f>
        <v>#REF!</v>
      </c>
      <c r="G68" s="4" t="e">
        <f>#REF!</f>
        <v>#REF!</v>
      </c>
      <c r="H68" s="4" t="e">
        <f>#REF!</f>
        <v>#REF!</v>
      </c>
      <c r="I68" s="4" t="e">
        <f>#REF!</f>
        <v>#REF!</v>
      </c>
      <c r="J68" s="4" t="e">
        <f>#REF!</f>
        <v>#REF!</v>
      </c>
      <c r="K68" s="4" t="e">
        <f>#REF!</f>
        <v>#REF!</v>
      </c>
      <c r="L68" s="4" t="e">
        <f>#REF!</f>
        <v>#REF!</v>
      </c>
      <c r="M68" s="4" t="e">
        <f>#REF!</f>
        <v>#REF!</v>
      </c>
    </row>
    <row r="69" spans="1:13" x14ac:dyDescent="0.25">
      <c r="A69" s="4" t="s">
        <v>113</v>
      </c>
      <c r="B69" s="4" t="e">
        <f>#REF!</f>
        <v>#REF!</v>
      </c>
      <c r="C69" s="4" t="e">
        <f>#REF!</f>
        <v>#REF!</v>
      </c>
      <c r="D69" s="4" t="e">
        <f>#REF!</f>
        <v>#REF!</v>
      </c>
      <c r="E69" s="4" t="e">
        <f>#REF!</f>
        <v>#REF!</v>
      </c>
      <c r="F69" s="4" t="e">
        <f>#REF!</f>
        <v>#REF!</v>
      </c>
      <c r="G69" s="4" t="e">
        <f>#REF!</f>
        <v>#REF!</v>
      </c>
      <c r="H69" s="4" t="e">
        <f>#REF!</f>
        <v>#REF!</v>
      </c>
      <c r="I69" s="4" t="e">
        <f>#REF!</f>
        <v>#REF!</v>
      </c>
      <c r="J69" s="4" t="e">
        <f>#REF!</f>
        <v>#REF!</v>
      </c>
      <c r="K69" s="4" t="e">
        <f>#REF!</f>
        <v>#REF!</v>
      </c>
      <c r="L69" s="4" t="e">
        <f>#REF!</f>
        <v>#REF!</v>
      </c>
      <c r="M69" s="4" t="e">
        <f>#REF!</f>
        <v>#REF!</v>
      </c>
    </row>
    <row r="70" spans="1:13" x14ac:dyDescent="0.25">
      <c r="A70" s="4" t="s">
        <v>114</v>
      </c>
      <c r="B70" s="4" t="e">
        <f>#REF!</f>
        <v>#REF!</v>
      </c>
      <c r="C70" s="4" t="e">
        <f>#REF!</f>
        <v>#REF!</v>
      </c>
      <c r="D70" s="4" t="e">
        <f>#REF!</f>
        <v>#REF!</v>
      </c>
      <c r="E70" s="4" t="e">
        <f>#REF!</f>
        <v>#REF!</v>
      </c>
      <c r="F70" s="4" t="e">
        <f>#REF!</f>
        <v>#REF!</v>
      </c>
      <c r="G70" s="4" t="e">
        <f>#REF!</f>
        <v>#REF!</v>
      </c>
      <c r="H70" s="4" t="e">
        <f>#REF!</f>
        <v>#REF!</v>
      </c>
      <c r="I70" s="4" t="e">
        <f>#REF!</f>
        <v>#REF!</v>
      </c>
      <c r="J70" s="4" t="e">
        <f>#REF!</f>
        <v>#REF!</v>
      </c>
      <c r="K70" s="4" t="e">
        <f>#REF!</f>
        <v>#REF!</v>
      </c>
      <c r="L70" s="4" t="e">
        <f>#REF!</f>
        <v>#REF!</v>
      </c>
      <c r="M70" s="4" t="e">
        <f>#REF!</f>
        <v>#REF!</v>
      </c>
    </row>
    <row r="71" spans="1:13" x14ac:dyDescent="0.25">
      <c r="A71" s="4">
        <v>3</v>
      </c>
    </row>
    <row r="72" spans="1:13" x14ac:dyDescent="0.25">
      <c r="A72" s="4" t="s">
        <v>121</v>
      </c>
      <c r="B72" s="4" t="e">
        <f>#REF!</f>
        <v>#REF!</v>
      </c>
      <c r="C72" s="4" t="e">
        <f>#REF!</f>
        <v>#REF!</v>
      </c>
      <c r="D72" s="4" t="e">
        <f>#REF!</f>
        <v>#REF!</v>
      </c>
      <c r="E72" s="4" t="e">
        <f>#REF!</f>
        <v>#REF!</v>
      </c>
      <c r="F72" s="4" t="e">
        <f>#REF!</f>
        <v>#REF!</v>
      </c>
      <c r="G72" s="4" t="e">
        <f>#REF!</f>
        <v>#REF!</v>
      </c>
      <c r="H72" s="4" t="e">
        <f>#REF!</f>
        <v>#REF!</v>
      </c>
      <c r="I72" s="4" t="e">
        <f>#REF!</f>
        <v>#REF!</v>
      </c>
      <c r="J72" s="4" t="e">
        <f>#REF!</f>
        <v>#REF!</v>
      </c>
      <c r="K72" s="4" t="e">
        <f>#REF!</f>
        <v>#REF!</v>
      </c>
      <c r="L72" s="4" t="e">
        <f>#REF!</f>
        <v>#REF!</v>
      </c>
      <c r="M72" s="4" t="e">
        <f>#REF!</f>
        <v>#REF!</v>
      </c>
    </row>
    <row r="73" spans="1:13" x14ac:dyDescent="0.25">
      <c r="A73" s="4" t="s">
        <v>113</v>
      </c>
      <c r="B73" s="4" t="e">
        <f>#REF!</f>
        <v>#REF!</v>
      </c>
      <c r="C73" s="4" t="e">
        <f>#REF!</f>
        <v>#REF!</v>
      </c>
      <c r="D73" s="4" t="e">
        <f>#REF!</f>
        <v>#REF!</v>
      </c>
      <c r="E73" s="4" t="e">
        <f>#REF!</f>
        <v>#REF!</v>
      </c>
      <c r="F73" s="4" t="e">
        <f>#REF!</f>
        <v>#REF!</v>
      </c>
      <c r="G73" s="4" t="e">
        <f>#REF!</f>
        <v>#REF!</v>
      </c>
      <c r="H73" s="4" t="e">
        <f>#REF!</f>
        <v>#REF!</v>
      </c>
      <c r="I73" s="4" t="e">
        <f>#REF!</f>
        <v>#REF!</v>
      </c>
      <c r="J73" s="4" t="e">
        <f>#REF!</f>
        <v>#REF!</v>
      </c>
      <c r="K73" s="4" t="e">
        <f>#REF!</f>
        <v>#REF!</v>
      </c>
      <c r="L73" s="4" t="e">
        <f>#REF!</f>
        <v>#REF!</v>
      </c>
      <c r="M73" s="4" t="e">
        <f>#REF!</f>
        <v>#REF!</v>
      </c>
    </row>
    <row r="74" spans="1:13" x14ac:dyDescent="0.25">
      <c r="A74" s="4" t="s">
        <v>114</v>
      </c>
      <c r="B74" s="4" t="e">
        <f>#REF!</f>
        <v>#REF!</v>
      </c>
      <c r="C74" s="4" t="e">
        <f>#REF!</f>
        <v>#REF!</v>
      </c>
      <c r="D74" s="4" t="e">
        <f>#REF!</f>
        <v>#REF!</v>
      </c>
      <c r="E74" s="4" t="e">
        <f>#REF!</f>
        <v>#REF!</v>
      </c>
      <c r="F74" s="4" t="e">
        <f>#REF!</f>
        <v>#REF!</v>
      </c>
      <c r="G74" s="4" t="e">
        <f>#REF!</f>
        <v>#REF!</v>
      </c>
      <c r="H74" s="4" t="e">
        <f>#REF!</f>
        <v>#REF!</v>
      </c>
      <c r="I74" s="4" t="e">
        <f>#REF!</f>
        <v>#REF!</v>
      </c>
      <c r="J74" s="4" t="e">
        <f>#REF!</f>
        <v>#REF!</v>
      </c>
      <c r="K74" s="4" t="e">
        <f>#REF!</f>
        <v>#REF!</v>
      </c>
      <c r="L74" s="4" t="e">
        <f>#REF!</f>
        <v>#REF!</v>
      </c>
      <c r="M74" s="4" t="e">
        <f>#REF!</f>
        <v>#REF!</v>
      </c>
    </row>
    <row r="75" spans="1:13" x14ac:dyDescent="0.25">
      <c r="A75" s="4">
        <v>4</v>
      </c>
    </row>
    <row r="76" spans="1:13" x14ac:dyDescent="0.25">
      <c r="A76" s="4" t="s">
        <v>121</v>
      </c>
      <c r="B76" s="4" t="e">
        <f>#REF!</f>
        <v>#REF!</v>
      </c>
      <c r="C76" s="4" t="e">
        <f>#REF!</f>
        <v>#REF!</v>
      </c>
      <c r="D76" s="4" t="e">
        <f>#REF!</f>
        <v>#REF!</v>
      </c>
      <c r="E76" s="4" t="e">
        <f>#REF!</f>
        <v>#REF!</v>
      </c>
      <c r="F76" s="4" t="e">
        <f>#REF!</f>
        <v>#REF!</v>
      </c>
      <c r="G76" s="4" t="e">
        <f>#REF!</f>
        <v>#REF!</v>
      </c>
      <c r="H76" s="4" t="e">
        <f>#REF!</f>
        <v>#REF!</v>
      </c>
      <c r="I76" s="4" t="e">
        <f>#REF!</f>
        <v>#REF!</v>
      </c>
      <c r="J76" s="4" t="e">
        <f>#REF!</f>
        <v>#REF!</v>
      </c>
      <c r="K76" s="4" t="e">
        <f>#REF!</f>
        <v>#REF!</v>
      </c>
      <c r="L76" s="4" t="e">
        <f>#REF!</f>
        <v>#REF!</v>
      </c>
      <c r="M76" s="4" t="e">
        <f>#REF!</f>
        <v>#REF!</v>
      </c>
    </row>
    <row r="77" spans="1:13" x14ac:dyDescent="0.25">
      <c r="A77" s="4" t="s">
        <v>113</v>
      </c>
      <c r="B77" s="4" t="e">
        <f>#REF!</f>
        <v>#REF!</v>
      </c>
      <c r="C77" s="4" t="e">
        <f>#REF!</f>
        <v>#REF!</v>
      </c>
      <c r="D77" s="4" t="e">
        <f>#REF!</f>
        <v>#REF!</v>
      </c>
      <c r="E77" s="4" t="e">
        <f>#REF!</f>
        <v>#REF!</v>
      </c>
      <c r="F77" s="4" t="e">
        <f>#REF!</f>
        <v>#REF!</v>
      </c>
      <c r="G77" s="4" t="e">
        <f>#REF!</f>
        <v>#REF!</v>
      </c>
      <c r="H77" s="4" t="e">
        <f>#REF!</f>
        <v>#REF!</v>
      </c>
      <c r="I77" s="4" t="e">
        <f>#REF!</f>
        <v>#REF!</v>
      </c>
      <c r="J77" s="4" t="e">
        <f>#REF!</f>
        <v>#REF!</v>
      </c>
      <c r="K77" s="4" t="e">
        <f>#REF!</f>
        <v>#REF!</v>
      </c>
      <c r="L77" s="4" t="e">
        <f>#REF!</f>
        <v>#REF!</v>
      </c>
      <c r="M77" s="4" t="e">
        <f>#REF!</f>
        <v>#REF!</v>
      </c>
    </row>
    <row r="78" spans="1:13" x14ac:dyDescent="0.25">
      <c r="A78" s="4" t="s">
        <v>114</v>
      </c>
      <c r="B78" s="4" t="e">
        <f>#REF!</f>
        <v>#REF!</v>
      </c>
      <c r="C78" s="4" t="e">
        <f>#REF!</f>
        <v>#REF!</v>
      </c>
      <c r="D78" s="4" t="e">
        <f>#REF!</f>
        <v>#REF!</v>
      </c>
      <c r="E78" s="4" t="e">
        <f>#REF!</f>
        <v>#REF!</v>
      </c>
      <c r="F78" s="4" t="e">
        <f>#REF!</f>
        <v>#REF!</v>
      </c>
      <c r="G78" s="4" t="e">
        <f>#REF!</f>
        <v>#REF!</v>
      </c>
      <c r="H78" s="4" t="e">
        <f>#REF!</f>
        <v>#REF!</v>
      </c>
      <c r="I78" s="4" t="e">
        <f>#REF!</f>
        <v>#REF!</v>
      </c>
      <c r="J78" s="4" t="e">
        <f>#REF!</f>
        <v>#REF!</v>
      </c>
      <c r="K78" s="4" t="e">
        <f>#REF!</f>
        <v>#REF!</v>
      </c>
      <c r="L78" s="4" t="e">
        <f>#REF!</f>
        <v>#REF!</v>
      </c>
      <c r="M78" s="4" t="e">
        <f>#REF!</f>
        <v>#REF!</v>
      </c>
    </row>
    <row r="79" spans="1:13" x14ac:dyDescent="0.25">
      <c r="A79" s="4">
        <v>5</v>
      </c>
    </row>
    <row r="80" spans="1:13" x14ac:dyDescent="0.25">
      <c r="A80" s="4" t="s">
        <v>121</v>
      </c>
      <c r="B80" s="4" t="e">
        <f>#REF!</f>
        <v>#REF!</v>
      </c>
      <c r="C80" s="4" t="e">
        <f>#REF!</f>
        <v>#REF!</v>
      </c>
      <c r="D80" s="4" t="e">
        <f>#REF!</f>
        <v>#REF!</v>
      </c>
      <c r="E80" s="4" t="e">
        <f>#REF!</f>
        <v>#REF!</v>
      </c>
      <c r="F80" s="4" t="e">
        <f>#REF!</f>
        <v>#REF!</v>
      </c>
      <c r="G80" s="4" t="e">
        <f>#REF!</f>
        <v>#REF!</v>
      </c>
      <c r="H80" s="4" t="e">
        <f>#REF!</f>
        <v>#REF!</v>
      </c>
      <c r="I80" s="4" t="e">
        <f>#REF!</f>
        <v>#REF!</v>
      </c>
      <c r="J80" s="4" t="e">
        <f>#REF!</f>
        <v>#REF!</v>
      </c>
      <c r="K80" s="4" t="e">
        <f>#REF!</f>
        <v>#REF!</v>
      </c>
      <c r="L80" s="4" t="e">
        <f>#REF!</f>
        <v>#REF!</v>
      </c>
      <c r="M80" s="4" t="e">
        <f>#REF!</f>
        <v>#REF!</v>
      </c>
    </row>
    <row r="81" spans="1:47" x14ac:dyDescent="0.25">
      <c r="A81" s="4" t="s">
        <v>113</v>
      </c>
      <c r="B81" s="4" t="e">
        <f>#REF!</f>
        <v>#REF!</v>
      </c>
      <c r="C81" s="4" t="e">
        <f>#REF!</f>
        <v>#REF!</v>
      </c>
      <c r="D81" s="4" t="e">
        <f>#REF!</f>
        <v>#REF!</v>
      </c>
      <c r="E81" s="4" t="e">
        <f>#REF!</f>
        <v>#REF!</v>
      </c>
      <c r="F81" s="4" t="e">
        <f>#REF!</f>
        <v>#REF!</v>
      </c>
      <c r="G81" s="4" t="e">
        <f>#REF!</f>
        <v>#REF!</v>
      </c>
      <c r="H81" s="4" t="e">
        <f>#REF!</f>
        <v>#REF!</v>
      </c>
      <c r="I81" s="4" t="e">
        <f>#REF!</f>
        <v>#REF!</v>
      </c>
      <c r="J81" s="4" t="e">
        <f>#REF!</f>
        <v>#REF!</v>
      </c>
      <c r="K81" s="4" t="e">
        <f>#REF!</f>
        <v>#REF!</v>
      </c>
      <c r="L81" s="4" t="e">
        <f>#REF!</f>
        <v>#REF!</v>
      </c>
      <c r="M81" s="4" t="e">
        <f>#REF!</f>
        <v>#REF!</v>
      </c>
    </row>
    <row r="82" spans="1:47" x14ac:dyDescent="0.25">
      <c r="A82" s="4" t="s">
        <v>114</v>
      </c>
      <c r="B82" s="4" t="e">
        <f>#REF!</f>
        <v>#REF!</v>
      </c>
      <c r="C82" s="4" t="e">
        <f>#REF!</f>
        <v>#REF!</v>
      </c>
      <c r="D82" s="4" t="e">
        <f>#REF!</f>
        <v>#REF!</v>
      </c>
      <c r="E82" s="4" t="e">
        <f>#REF!</f>
        <v>#REF!</v>
      </c>
      <c r="F82" s="4" t="e">
        <f>#REF!</f>
        <v>#REF!</v>
      </c>
      <c r="G82" s="4" t="e">
        <f>#REF!</f>
        <v>#REF!</v>
      </c>
      <c r="H82" s="4" t="e">
        <f>#REF!</f>
        <v>#REF!</v>
      </c>
      <c r="I82" s="4" t="e">
        <f>#REF!</f>
        <v>#REF!</v>
      </c>
      <c r="J82" s="4" t="e">
        <f>#REF!</f>
        <v>#REF!</v>
      </c>
      <c r="K82" s="4" t="e">
        <f>#REF!</f>
        <v>#REF!</v>
      </c>
      <c r="L82" s="4" t="e">
        <f>#REF!</f>
        <v>#REF!</v>
      </c>
      <c r="M82" s="4" t="e">
        <f>#REF!</f>
        <v>#REF!</v>
      </c>
    </row>
    <row r="83" spans="1:47" x14ac:dyDescent="0.25">
      <c r="A83" s="4">
        <v>6</v>
      </c>
    </row>
    <row r="84" spans="1:47" x14ac:dyDescent="0.25">
      <c r="A84" s="4" t="s">
        <v>121</v>
      </c>
      <c r="B84" s="4" t="e">
        <f>#REF!</f>
        <v>#REF!</v>
      </c>
      <c r="C84" s="4" t="e">
        <f>#REF!</f>
        <v>#REF!</v>
      </c>
      <c r="D84" s="4" t="e">
        <f>#REF!</f>
        <v>#REF!</v>
      </c>
      <c r="E84" s="4" t="e">
        <f>#REF!</f>
        <v>#REF!</v>
      </c>
      <c r="F84" s="4" t="e">
        <f>#REF!</f>
        <v>#REF!</v>
      </c>
      <c r="G84" s="4" t="e">
        <f>#REF!</f>
        <v>#REF!</v>
      </c>
      <c r="H84" s="4" t="e">
        <f>#REF!</f>
        <v>#REF!</v>
      </c>
      <c r="I84" s="4" t="e">
        <f>#REF!</f>
        <v>#REF!</v>
      </c>
      <c r="J84" s="4" t="e">
        <f>#REF!</f>
        <v>#REF!</v>
      </c>
      <c r="K84" s="4" t="e">
        <f>#REF!</f>
        <v>#REF!</v>
      </c>
      <c r="L84" s="4" t="e">
        <f>#REF!</f>
        <v>#REF!</v>
      </c>
      <c r="M84" s="4" t="e">
        <f>#REF!</f>
        <v>#REF!</v>
      </c>
    </row>
    <row r="85" spans="1:47" x14ac:dyDescent="0.25">
      <c r="A85" s="4" t="s">
        <v>113</v>
      </c>
      <c r="B85" s="4" t="e">
        <f>#REF!</f>
        <v>#REF!</v>
      </c>
      <c r="C85" s="4" t="e">
        <f>#REF!</f>
        <v>#REF!</v>
      </c>
      <c r="D85" s="4" t="e">
        <f>#REF!</f>
        <v>#REF!</v>
      </c>
      <c r="E85" s="4" t="e">
        <f>#REF!</f>
        <v>#REF!</v>
      </c>
      <c r="F85" s="4" t="e">
        <f>#REF!</f>
        <v>#REF!</v>
      </c>
      <c r="G85" s="4" t="e">
        <f>#REF!</f>
        <v>#REF!</v>
      </c>
      <c r="H85" s="4" t="e">
        <f>#REF!</f>
        <v>#REF!</v>
      </c>
      <c r="I85" s="4" t="e">
        <f>#REF!</f>
        <v>#REF!</v>
      </c>
      <c r="J85" s="4" t="e">
        <f>#REF!</f>
        <v>#REF!</v>
      </c>
      <c r="K85" s="4" t="e">
        <f>#REF!</f>
        <v>#REF!</v>
      </c>
      <c r="L85" s="4" t="e">
        <f>#REF!</f>
        <v>#REF!</v>
      </c>
      <c r="M85" s="4" t="e">
        <f>#REF!</f>
        <v>#REF!</v>
      </c>
    </row>
    <row r="86" spans="1:47" x14ac:dyDescent="0.25">
      <c r="A86" s="4" t="s">
        <v>114</v>
      </c>
      <c r="B86" s="4" t="e">
        <f>#REF!</f>
        <v>#REF!</v>
      </c>
      <c r="C86" s="4" t="e">
        <f>#REF!</f>
        <v>#REF!</v>
      </c>
      <c r="D86" s="4" t="e">
        <f>#REF!</f>
        <v>#REF!</v>
      </c>
      <c r="E86" s="4" t="e">
        <f>#REF!</f>
        <v>#REF!</v>
      </c>
      <c r="F86" s="4" t="e">
        <f>#REF!</f>
        <v>#REF!</v>
      </c>
      <c r="G86" s="4" t="e">
        <f>#REF!</f>
        <v>#REF!</v>
      </c>
      <c r="H86" s="4" t="e">
        <f>#REF!</f>
        <v>#REF!</v>
      </c>
      <c r="I86" s="4" t="e">
        <f>#REF!</f>
        <v>#REF!</v>
      </c>
      <c r="J86" s="4" t="e">
        <f>#REF!</f>
        <v>#REF!</v>
      </c>
      <c r="K86" s="4" t="e">
        <f>#REF!</f>
        <v>#REF!</v>
      </c>
      <c r="L86" s="4" t="e">
        <f>#REF!</f>
        <v>#REF!</v>
      </c>
      <c r="M86" s="4" t="e">
        <f>#REF!</f>
        <v>#REF!</v>
      </c>
    </row>
    <row r="88" spans="1:47" x14ac:dyDescent="0.25">
      <c r="AM88" s="4" t="s">
        <v>125</v>
      </c>
    </row>
    <row r="89" spans="1:47" x14ac:dyDescent="0.25">
      <c r="A89" s="4" t="s">
        <v>121</v>
      </c>
      <c r="O89" s="4" t="s">
        <v>80</v>
      </c>
      <c r="T89" s="4" t="s">
        <v>81</v>
      </c>
      <c r="Z89" s="4" t="s">
        <v>124</v>
      </c>
      <c r="AM89" s="4" t="s">
        <v>24</v>
      </c>
      <c r="AR89" s="4" t="s">
        <v>81</v>
      </c>
    </row>
    <row r="90" spans="1:47" x14ac:dyDescent="0.25">
      <c r="A90" s="4" t="s">
        <v>83</v>
      </c>
      <c r="B90" s="4" t="s">
        <v>38</v>
      </c>
      <c r="C90" s="4" t="s">
        <v>39</v>
      </c>
      <c r="D90" s="4" t="s">
        <v>40</v>
      </c>
      <c r="E90" s="4" t="s">
        <v>41</v>
      </c>
      <c r="F90" s="4" t="s">
        <v>42</v>
      </c>
      <c r="G90" s="4" t="s">
        <v>43</v>
      </c>
      <c r="H90" s="4" t="s">
        <v>44</v>
      </c>
      <c r="I90" s="4" t="s">
        <v>45</v>
      </c>
      <c r="J90" s="4" t="s">
        <v>46</v>
      </c>
      <c r="K90" s="4" t="s">
        <v>47</v>
      </c>
      <c r="L90" s="4" t="s">
        <v>48</v>
      </c>
      <c r="M90" s="4" t="s">
        <v>49</v>
      </c>
      <c r="N90" s="4" t="s">
        <v>83</v>
      </c>
      <c r="O90" s="4" t="s">
        <v>75</v>
      </c>
      <c r="P90" s="4" t="s">
        <v>76</v>
      </c>
      <c r="Q90" s="4" t="s">
        <v>77</v>
      </c>
      <c r="R90" s="4" t="s">
        <v>78</v>
      </c>
      <c r="T90" s="4" t="s">
        <v>75</v>
      </c>
      <c r="U90" s="4" t="s">
        <v>76</v>
      </c>
      <c r="V90" s="4" t="s">
        <v>77</v>
      </c>
      <c r="W90" s="4" t="s">
        <v>78</v>
      </c>
      <c r="Z90" s="4" t="s">
        <v>38</v>
      </c>
      <c r="AA90" s="4" t="s">
        <v>39</v>
      </c>
      <c r="AB90" s="4" t="s">
        <v>40</v>
      </c>
      <c r="AC90" s="4" t="s">
        <v>41</v>
      </c>
      <c r="AD90" s="4" t="s">
        <v>42</v>
      </c>
      <c r="AE90" s="4" t="s">
        <v>43</v>
      </c>
      <c r="AF90" s="4" t="s">
        <v>44</v>
      </c>
      <c r="AG90" s="4" t="s">
        <v>45</v>
      </c>
      <c r="AH90" s="4" t="s">
        <v>46</v>
      </c>
      <c r="AI90" s="4" t="s">
        <v>47</v>
      </c>
      <c r="AJ90" s="4" t="s">
        <v>48</v>
      </c>
      <c r="AK90" s="4" t="s">
        <v>49</v>
      </c>
      <c r="AM90" s="4" t="s">
        <v>75</v>
      </c>
      <c r="AN90" s="4" t="s">
        <v>76</v>
      </c>
      <c r="AO90" s="4" t="s">
        <v>77</v>
      </c>
      <c r="AP90" s="4" t="s">
        <v>78</v>
      </c>
      <c r="AR90" s="4" t="s">
        <v>75</v>
      </c>
      <c r="AS90" s="4" t="s">
        <v>76</v>
      </c>
      <c r="AT90" s="4" t="s">
        <v>77</v>
      </c>
      <c r="AU90" s="4" t="s">
        <v>78</v>
      </c>
    </row>
    <row r="91" spans="1:47" x14ac:dyDescent="0.25">
      <c r="A91" s="4">
        <v>0</v>
      </c>
      <c r="B91" s="4" t="e">
        <f>B63</f>
        <v>#REF!</v>
      </c>
      <c r="C91" s="4">
        <f t="shared" ref="C91:M91" si="65">C63</f>
        <v>0</v>
      </c>
      <c r="D91" s="4">
        <f t="shared" si="65"/>
        <v>0</v>
      </c>
      <c r="E91" s="4">
        <f t="shared" si="65"/>
        <v>0</v>
      </c>
      <c r="F91" s="4">
        <f t="shared" si="65"/>
        <v>0</v>
      </c>
      <c r="G91" s="4">
        <f t="shared" si="65"/>
        <v>0</v>
      </c>
      <c r="H91" s="4">
        <f t="shared" si="65"/>
        <v>0</v>
      </c>
      <c r="I91" s="4">
        <f t="shared" si="65"/>
        <v>0</v>
      </c>
      <c r="J91" s="4">
        <f t="shared" si="65"/>
        <v>0</v>
      </c>
      <c r="K91" s="4">
        <f t="shared" si="65"/>
        <v>0</v>
      </c>
      <c r="L91" s="4">
        <f t="shared" si="65"/>
        <v>0</v>
      </c>
      <c r="M91" s="4">
        <f t="shared" si="65"/>
        <v>0</v>
      </c>
      <c r="N91" s="4">
        <v>0</v>
      </c>
      <c r="O91" s="4" t="e">
        <f>AVERAGE(B91:D91)</f>
        <v>#REF!</v>
      </c>
      <c r="P91" s="4">
        <f>AVERAGE(E91:G91)</f>
        <v>0</v>
      </c>
      <c r="Q91" s="4">
        <f>AVERAGE(H91:J91)</f>
        <v>0</v>
      </c>
      <c r="R91" s="4">
        <f>AVERAGE(K91:M91)</f>
        <v>0</v>
      </c>
      <c r="T91" s="4" t="e">
        <f>STDEV(B91:D91)/SQRT(3)*4.303</f>
        <v>#REF!</v>
      </c>
      <c r="U91" s="4">
        <f t="shared" ref="U91:W91" si="66">STDEV(C91:E91)/SQRT(3)*4.303</f>
        <v>0</v>
      </c>
      <c r="V91" s="4">
        <f t="shared" si="66"/>
        <v>0</v>
      </c>
      <c r="W91" s="4">
        <f t="shared" si="66"/>
        <v>0</v>
      </c>
      <c r="Y91" s="4" t="s">
        <v>121</v>
      </c>
      <c r="Z91" s="4" t="e">
        <f>B96-B91</f>
        <v>#REF!</v>
      </c>
      <c r="AA91" s="4" t="e">
        <f t="shared" ref="AA91:AK91" si="67">C96-C91</f>
        <v>#REF!</v>
      </c>
      <c r="AB91" s="4" t="e">
        <f t="shared" si="67"/>
        <v>#REF!</v>
      </c>
      <c r="AC91" s="4" t="e">
        <f t="shared" si="67"/>
        <v>#REF!</v>
      </c>
      <c r="AD91" s="4" t="e">
        <f t="shared" si="67"/>
        <v>#REF!</v>
      </c>
      <c r="AE91" s="4" t="e">
        <f t="shared" si="67"/>
        <v>#REF!</v>
      </c>
      <c r="AF91" s="4" t="e">
        <f t="shared" si="67"/>
        <v>#REF!</v>
      </c>
      <c r="AG91" s="4" t="e">
        <f t="shared" si="67"/>
        <v>#REF!</v>
      </c>
      <c r="AH91" s="4" t="e">
        <f t="shared" si="67"/>
        <v>#REF!</v>
      </c>
      <c r="AI91" s="4" t="e">
        <f t="shared" si="67"/>
        <v>#REF!</v>
      </c>
      <c r="AJ91" s="4" t="e">
        <f t="shared" si="67"/>
        <v>#REF!</v>
      </c>
      <c r="AK91" s="4" t="e">
        <f t="shared" si="67"/>
        <v>#REF!</v>
      </c>
      <c r="AM91" s="4" t="e">
        <f>AVERAGE(Z91:AB91)</f>
        <v>#REF!</v>
      </c>
      <c r="AN91" s="4" t="e">
        <f>AVERAGE(AC91:AE91)</f>
        <v>#REF!</v>
      </c>
      <c r="AO91" s="4" t="e">
        <f>AVERAGE(AF91:AH91)</f>
        <v>#REF!</v>
      </c>
      <c r="AP91" s="4" t="e">
        <f>AVERAGE(AI91:AK91)</f>
        <v>#REF!</v>
      </c>
      <c r="AR91" s="4" t="e">
        <f>STDEV(Z91:AB91)/SQRT(3)*4.303</f>
        <v>#REF!</v>
      </c>
      <c r="AS91" s="4" t="e">
        <f>STDEV(AC91:AE91)/SQRT(3)*4.303</f>
        <v>#REF!</v>
      </c>
      <c r="AT91" s="4" t="e">
        <f>STDEV(AF91:AH91)/SQRT(3)*4.303</f>
        <v>#REF!</v>
      </c>
      <c r="AU91" s="4" t="e">
        <f>STDEV(AI91:AK91)/SQRT(3)*4.303</f>
        <v>#REF!</v>
      </c>
    </row>
    <row r="92" spans="1:47" x14ac:dyDescent="0.25">
      <c r="A92" s="4">
        <v>1</v>
      </c>
      <c r="B92" s="4" t="e">
        <f>B68</f>
        <v>#REF!</v>
      </c>
      <c r="C92" s="4" t="e">
        <f t="shared" ref="C92:M92" si="68">C68</f>
        <v>#REF!</v>
      </c>
      <c r="D92" s="4" t="e">
        <f t="shared" si="68"/>
        <v>#REF!</v>
      </c>
      <c r="E92" s="4" t="e">
        <f t="shared" si="68"/>
        <v>#REF!</v>
      </c>
      <c r="F92" s="4" t="e">
        <f t="shared" si="68"/>
        <v>#REF!</v>
      </c>
      <c r="G92" s="4" t="e">
        <f t="shared" si="68"/>
        <v>#REF!</v>
      </c>
      <c r="H92" s="4" t="e">
        <f t="shared" si="68"/>
        <v>#REF!</v>
      </c>
      <c r="I92" s="4" t="e">
        <f t="shared" si="68"/>
        <v>#REF!</v>
      </c>
      <c r="J92" s="4" t="e">
        <f t="shared" si="68"/>
        <v>#REF!</v>
      </c>
      <c r="K92" s="4" t="e">
        <f t="shared" si="68"/>
        <v>#REF!</v>
      </c>
      <c r="L92" s="4" t="e">
        <f t="shared" si="68"/>
        <v>#REF!</v>
      </c>
      <c r="M92" s="4" t="e">
        <f t="shared" si="68"/>
        <v>#REF!</v>
      </c>
      <c r="N92" s="4">
        <v>1</v>
      </c>
      <c r="O92" s="4" t="e">
        <f t="shared" ref="O92:O95" si="69">AVERAGE(B92:D92)</f>
        <v>#REF!</v>
      </c>
      <c r="P92" s="4" t="e">
        <f t="shared" ref="P92:P95" si="70">AVERAGE(E92:G92)</f>
        <v>#REF!</v>
      </c>
      <c r="Q92" s="4" t="e">
        <f t="shared" ref="Q92:Q95" si="71">AVERAGE(H92:J92)</f>
        <v>#REF!</v>
      </c>
      <c r="R92" s="4" t="e">
        <f t="shared" ref="R92:R95" si="72">AVERAGE(K92:M92)</f>
        <v>#REF!</v>
      </c>
      <c r="T92" s="4" t="e">
        <f t="shared" ref="T92:T96" si="73">STDEV(B92:D92)/SQRT(3)*4.303</f>
        <v>#REF!</v>
      </c>
      <c r="U92" s="4" t="e">
        <f t="shared" ref="U92:U96" si="74">STDEV(C92:E92)/SQRT(3)*4.303</f>
        <v>#REF!</v>
      </c>
      <c r="V92" s="4" t="e">
        <f t="shared" ref="V92:V96" si="75">STDEV(D92:F92)/SQRT(3)*4.303</f>
        <v>#REF!</v>
      </c>
      <c r="W92" s="4" t="e">
        <f t="shared" ref="W92:W96" si="76">STDEV(E92:G92)/SQRT(3)*4.303</f>
        <v>#REF!</v>
      </c>
      <c r="Y92" s="4" t="s">
        <v>123</v>
      </c>
      <c r="Z92" s="4" t="e">
        <f>B105-B100</f>
        <v>#REF!</v>
      </c>
      <c r="AA92" s="4" t="e">
        <f t="shared" ref="AA92:AK92" si="77">C105-C100</f>
        <v>#REF!</v>
      </c>
      <c r="AB92" s="4" t="e">
        <f t="shared" si="77"/>
        <v>#REF!</v>
      </c>
      <c r="AC92" s="4" t="e">
        <f t="shared" si="77"/>
        <v>#REF!</v>
      </c>
      <c r="AD92" s="4" t="e">
        <f t="shared" si="77"/>
        <v>#REF!</v>
      </c>
      <c r="AE92" s="4" t="e">
        <f t="shared" si="77"/>
        <v>#REF!</v>
      </c>
      <c r="AF92" s="4" t="e">
        <f t="shared" si="77"/>
        <v>#REF!</v>
      </c>
      <c r="AG92" s="4" t="e">
        <f t="shared" si="77"/>
        <v>#REF!</v>
      </c>
      <c r="AH92" s="4" t="e">
        <f t="shared" si="77"/>
        <v>#REF!</v>
      </c>
      <c r="AI92" s="4" t="e">
        <f t="shared" si="77"/>
        <v>#REF!</v>
      </c>
      <c r="AJ92" s="4" t="e">
        <f t="shared" si="77"/>
        <v>#REF!</v>
      </c>
      <c r="AK92" s="4" t="e">
        <f t="shared" si="77"/>
        <v>#REF!</v>
      </c>
      <c r="AM92" s="4" t="e">
        <f>AVERAGE(Z92:AB92)</f>
        <v>#REF!</v>
      </c>
      <c r="AN92" s="4" t="e">
        <f>AVERAGE(AC92:AE92)</f>
        <v>#REF!</v>
      </c>
      <c r="AO92" s="4" t="e">
        <f>AVERAGE(AF92:AH92)</f>
        <v>#REF!</v>
      </c>
      <c r="AP92" s="4" t="e">
        <f>AVERAGE(AI92:AK92)</f>
        <v>#REF!</v>
      </c>
      <c r="AR92" s="4" t="e">
        <f>STDEV(Z92:AB92)/SQRT(3)*4.303</f>
        <v>#REF!</v>
      </c>
      <c r="AS92" s="4" t="e">
        <f>STDEV(AC92:AE92)/SQRT(3)*4.303</f>
        <v>#REF!</v>
      </c>
      <c r="AT92" s="4" t="e">
        <f>STDEV(AF92:AH92)/SQRT(3)*4.303</f>
        <v>#REF!</v>
      </c>
      <c r="AU92" s="4" t="e">
        <f>STDEV(AI92:AK92)/SQRT(3)*4.303</f>
        <v>#REF!</v>
      </c>
    </row>
    <row r="93" spans="1:47" x14ac:dyDescent="0.25">
      <c r="A93" s="4">
        <v>2</v>
      </c>
      <c r="B93" s="4" t="e">
        <f>B72</f>
        <v>#REF!</v>
      </c>
      <c r="C93" s="4" t="e">
        <f t="shared" ref="C93:M93" si="78">C72</f>
        <v>#REF!</v>
      </c>
      <c r="D93" s="4" t="e">
        <f t="shared" si="78"/>
        <v>#REF!</v>
      </c>
      <c r="E93" s="4" t="e">
        <f t="shared" si="78"/>
        <v>#REF!</v>
      </c>
      <c r="F93" s="4" t="e">
        <f t="shared" si="78"/>
        <v>#REF!</v>
      </c>
      <c r="G93" s="4" t="e">
        <f t="shared" si="78"/>
        <v>#REF!</v>
      </c>
      <c r="H93" s="4" t="e">
        <f t="shared" si="78"/>
        <v>#REF!</v>
      </c>
      <c r="I93" s="4" t="e">
        <f t="shared" si="78"/>
        <v>#REF!</v>
      </c>
      <c r="J93" s="4" t="e">
        <f t="shared" si="78"/>
        <v>#REF!</v>
      </c>
      <c r="K93" s="4" t="e">
        <f t="shared" si="78"/>
        <v>#REF!</v>
      </c>
      <c r="L93" s="4" t="e">
        <f t="shared" si="78"/>
        <v>#REF!</v>
      </c>
      <c r="M93" s="4" t="e">
        <f t="shared" si="78"/>
        <v>#REF!</v>
      </c>
      <c r="N93" s="4">
        <v>2</v>
      </c>
      <c r="O93" s="4" t="e">
        <f t="shared" si="69"/>
        <v>#REF!</v>
      </c>
      <c r="P93" s="4" t="e">
        <f t="shared" si="70"/>
        <v>#REF!</v>
      </c>
      <c r="Q93" s="4" t="e">
        <f t="shared" si="71"/>
        <v>#REF!</v>
      </c>
      <c r="R93" s="4" t="e">
        <f t="shared" si="72"/>
        <v>#REF!</v>
      </c>
      <c r="T93" s="4" t="e">
        <f t="shared" si="73"/>
        <v>#REF!</v>
      </c>
      <c r="U93" s="4" t="e">
        <f t="shared" si="74"/>
        <v>#REF!</v>
      </c>
      <c r="V93" s="4" t="e">
        <f t="shared" si="75"/>
        <v>#REF!</v>
      </c>
      <c r="W93" s="4" t="e">
        <f t="shared" si="76"/>
        <v>#REF!</v>
      </c>
    </row>
    <row r="94" spans="1:47" x14ac:dyDescent="0.25">
      <c r="A94" s="4">
        <v>3</v>
      </c>
      <c r="B94" s="4" t="e">
        <f>B76</f>
        <v>#REF!</v>
      </c>
      <c r="C94" s="4" t="e">
        <f t="shared" ref="C94:M94" si="79">C76</f>
        <v>#REF!</v>
      </c>
      <c r="D94" s="4" t="e">
        <f t="shared" si="79"/>
        <v>#REF!</v>
      </c>
      <c r="E94" s="4" t="e">
        <f t="shared" si="79"/>
        <v>#REF!</v>
      </c>
      <c r="F94" s="4" t="e">
        <f t="shared" si="79"/>
        <v>#REF!</v>
      </c>
      <c r="G94" s="4" t="e">
        <f t="shared" si="79"/>
        <v>#REF!</v>
      </c>
      <c r="H94" s="4" t="e">
        <f t="shared" si="79"/>
        <v>#REF!</v>
      </c>
      <c r="I94" s="4" t="e">
        <f t="shared" si="79"/>
        <v>#REF!</v>
      </c>
      <c r="J94" s="4" t="e">
        <f t="shared" si="79"/>
        <v>#REF!</v>
      </c>
      <c r="K94" s="4" t="e">
        <f t="shared" si="79"/>
        <v>#REF!</v>
      </c>
      <c r="L94" s="4" t="e">
        <f t="shared" si="79"/>
        <v>#REF!</v>
      </c>
      <c r="M94" s="4" t="e">
        <f t="shared" si="79"/>
        <v>#REF!</v>
      </c>
      <c r="N94" s="4">
        <v>3</v>
      </c>
      <c r="O94" s="4" t="e">
        <f t="shared" si="69"/>
        <v>#REF!</v>
      </c>
      <c r="P94" s="4" t="e">
        <f t="shared" si="70"/>
        <v>#REF!</v>
      </c>
      <c r="Q94" s="4" t="e">
        <f t="shared" si="71"/>
        <v>#REF!</v>
      </c>
      <c r="R94" s="4" t="e">
        <f t="shared" si="72"/>
        <v>#REF!</v>
      </c>
      <c r="T94" s="4" t="e">
        <f t="shared" si="73"/>
        <v>#REF!</v>
      </c>
      <c r="U94" s="4" t="e">
        <f t="shared" si="74"/>
        <v>#REF!</v>
      </c>
      <c r="V94" s="4" t="e">
        <f t="shared" si="75"/>
        <v>#REF!</v>
      </c>
      <c r="W94" s="4" t="e">
        <f t="shared" si="76"/>
        <v>#REF!</v>
      </c>
    </row>
    <row r="95" spans="1:47" x14ac:dyDescent="0.25">
      <c r="A95" s="4">
        <v>4</v>
      </c>
      <c r="B95" s="4" t="e">
        <f>B80</f>
        <v>#REF!</v>
      </c>
      <c r="C95" s="4" t="e">
        <f t="shared" ref="C95:M95" si="80">C80</f>
        <v>#REF!</v>
      </c>
      <c r="D95" s="4" t="e">
        <f t="shared" si="80"/>
        <v>#REF!</v>
      </c>
      <c r="E95" s="4" t="e">
        <f t="shared" si="80"/>
        <v>#REF!</v>
      </c>
      <c r="F95" s="4" t="e">
        <f t="shared" si="80"/>
        <v>#REF!</v>
      </c>
      <c r="G95" s="4" t="e">
        <f t="shared" si="80"/>
        <v>#REF!</v>
      </c>
      <c r="H95" s="4" t="e">
        <f t="shared" si="80"/>
        <v>#REF!</v>
      </c>
      <c r="I95" s="4" t="e">
        <f t="shared" si="80"/>
        <v>#REF!</v>
      </c>
      <c r="J95" s="4" t="e">
        <f t="shared" si="80"/>
        <v>#REF!</v>
      </c>
      <c r="K95" s="4" t="e">
        <f t="shared" si="80"/>
        <v>#REF!</v>
      </c>
      <c r="L95" s="4" t="e">
        <f t="shared" si="80"/>
        <v>#REF!</v>
      </c>
      <c r="M95" s="4" t="e">
        <f t="shared" si="80"/>
        <v>#REF!</v>
      </c>
      <c r="N95" s="4">
        <v>4</v>
      </c>
      <c r="O95" s="4" t="e">
        <f t="shared" si="69"/>
        <v>#REF!</v>
      </c>
      <c r="P95" s="4" t="e">
        <f t="shared" si="70"/>
        <v>#REF!</v>
      </c>
      <c r="Q95" s="4" t="e">
        <f t="shared" si="71"/>
        <v>#REF!</v>
      </c>
      <c r="R95" s="4" t="e">
        <f t="shared" si="72"/>
        <v>#REF!</v>
      </c>
      <c r="T95" s="4" t="e">
        <f t="shared" si="73"/>
        <v>#REF!</v>
      </c>
      <c r="U95" s="4" t="e">
        <f t="shared" si="74"/>
        <v>#REF!</v>
      </c>
      <c r="V95" s="4" t="e">
        <f t="shared" si="75"/>
        <v>#REF!</v>
      </c>
      <c r="W95" s="4" t="e">
        <f t="shared" si="76"/>
        <v>#REF!</v>
      </c>
    </row>
    <row r="96" spans="1:47" x14ac:dyDescent="0.25">
      <c r="A96" s="4">
        <v>5</v>
      </c>
      <c r="B96" s="4" t="e">
        <f>B84</f>
        <v>#REF!</v>
      </c>
      <c r="C96" s="4" t="e">
        <f t="shared" ref="C96:M96" si="81">C84</f>
        <v>#REF!</v>
      </c>
      <c r="D96" s="4" t="e">
        <f t="shared" si="81"/>
        <v>#REF!</v>
      </c>
      <c r="E96" s="4" t="e">
        <f t="shared" si="81"/>
        <v>#REF!</v>
      </c>
      <c r="F96" s="4" t="e">
        <f t="shared" si="81"/>
        <v>#REF!</v>
      </c>
      <c r="G96" s="4" t="e">
        <f t="shared" si="81"/>
        <v>#REF!</v>
      </c>
      <c r="H96" s="4" t="e">
        <f t="shared" si="81"/>
        <v>#REF!</v>
      </c>
      <c r="I96" s="4" t="e">
        <f t="shared" si="81"/>
        <v>#REF!</v>
      </c>
      <c r="J96" s="4" t="e">
        <f t="shared" si="81"/>
        <v>#REF!</v>
      </c>
      <c r="K96" s="4" t="e">
        <f t="shared" si="81"/>
        <v>#REF!</v>
      </c>
      <c r="L96" s="4" t="e">
        <f t="shared" si="81"/>
        <v>#REF!</v>
      </c>
      <c r="M96" s="4" t="e">
        <f t="shared" si="81"/>
        <v>#REF!</v>
      </c>
      <c r="N96" s="4">
        <v>5</v>
      </c>
      <c r="O96" s="4" t="e">
        <f t="shared" ref="O96" si="82">AVERAGE(B96:D96)</f>
        <v>#REF!</v>
      </c>
      <c r="P96" s="4" t="e">
        <f t="shared" ref="P96" si="83">AVERAGE(E96:G96)</f>
        <v>#REF!</v>
      </c>
      <c r="Q96" s="4" t="e">
        <f t="shared" ref="Q96" si="84">AVERAGE(H96:J96)</f>
        <v>#REF!</v>
      </c>
      <c r="R96" s="4" t="e">
        <f t="shared" ref="R96" si="85">AVERAGE(K96:M96)</f>
        <v>#REF!</v>
      </c>
      <c r="T96" s="4" t="e">
        <f t="shared" si="73"/>
        <v>#REF!</v>
      </c>
      <c r="U96" s="4" t="e">
        <f t="shared" si="74"/>
        <v>#REF!</v>
      </c>
      <c r="V96" s="4" t="e">
        <f t="shared" si="75"/>
        <v>#REF!</v>
      </c>
      <c r="W96" s="4" t="e">
        <f t="shared" si="76"/>
        <v>#REF!</v>
      </c>
    </row>
    <row r="98" spans="1:23" x14ac:dyDescent="0.25">
      <c r="A98" s="4" t="s">
        <v>123</v>
      </c>
      <c r="O98" s="4" t="s">
        <v>80</v>
      </c>
      <c r="T98" s="4" t="s">
        <v>81</v>
      </c>
    </row>
    <row r="99" spans="1:23" x14ac:dyDescent="0.25">
      <c r="A99" s="4" t="s">
        <v>83</v>
      </c>
      <c r="B99" s="4" t="s">
        <v>38</v>
      </c>
      <c r="C99" s="4" t="s">
        <v>39</v>
      </c>
      <c r="D99" s="4" t="s">
        <v>40</v>
      </c>
      <c r="E99" s="4" t="s">
        <v>41</v>
      </c>
      <c r="F99" s="4" t="s">
        <v>42</v>
      </c>
      <c r="G99" s="4" t="s">
        <v>43</v>
      </c>
      <c r="H99" s="4" t="s">
        <v>44</v>
      </c>
      <c r="I99" s="4" t="s">
        <v>45</v>
      </c>
      <c r="J99" s="4" t="s">
        <v>46</v>
      </c>
      <c r="K99" s="4" t="s">
        <v>47</v>
      </c>
      <c r="L99" s="4" t="s">
        <v>48</v>
      </c>
      <c r="M99" s="4" t="s">
        <v>49</v>
      </c>
      <c r="N99" s="4" t="s">
        <v>83</v>
      </c>
      <c r="O99" s="4" t="s">
        <v>75</v>
      </c>
      <c r="P99" s="4" t="s">
        <v>76</v>
      </c>
      <c r="Q99" s="4" t="s">
        <v>77</v>
      </c>
      <c r="R99" s="4" t="s">
        <v>78</v>
      </c>
      <c r="T99" s="4" t="s">
        <v>75</v>
      </c>
      <c r="U99" s="4" t="s">
        <v>76</v>
      </c>
      <c r="V99" s="4" t="s">
        <v>77</v>
      </c>
      <c r="W99" s="4" t="s">
        <v>78</v>
      </c>
    </row>
    <row r="100" spans="1:23" x14ac:dyDescent="0.25">
      <c r="A100" s="4">
        <v>0</v>
      </c>
      <c r="B100" s="4">
        <f>B66</f>
        <v>0</v>
      </c>
      <c r="C100" s="4">
        <f t="shared" ref="C100:M100" si="86">C66</f>
        <v>0</v>
      </c>
      <c r="D100" s="4">
        <f t="shared" si="86"/>
        <v>0</v>
      </c>
      <c r="E100" s="4">
        <f t="shared" si="86"/>
        <v>0</v>
      </c>
      <c r="F100" s="4">
        <f t="shared" si="86"/>
        <v>0</v>
      </c>
      <c r="G100" s="4">
        <f t="shared" si="86"/>
        <v>0</v>
      </c>
      <c r="H100" s="4">
        <f t="shared" si="86"/>
        <v>0</v>
      </c>
      <c r="I100" s="4">
        <f t="shared" si="86"/>
        <v>0</v>
      </c>
      <c r="J100" s="4">
        <f t="shared" si="86"/>
        <v>0</v>
      </c>
      <c r="K100" s="4">
        <f t="shared" si="86"/>
        <v>0</v>
      </c>
      <c r="L100" s="4">
        <f t="shared" si="86"/>
        <v>0</v>
      </c>
      <c r="M100" s="4">
        <f t="shared" si="86"/>
        <v>0</v>
      </c>
      <c r="N100" s="4">
        <v>0</v>
      </c>
      <c r="O100" s="4">
        <f>AVERAGE(B100:D100)</f>
        <v>0</v>
      </c>
      <c r="P100" s="4">
        <f>AVERAGE(E100:G100)</f>
        <v>0</v>
      </c>
      <c r="Q100" s="4">
        <f>AVERAGE(H100:J100)</f>
        <v>0</v>
      </c>
      <c r="R100" s="4">
        <f>AVERAGE(K100:M100)</f>
        <v>0</v>
      </c>
      <c r="T100" s="4">
        <f>STDEV(B100:D100)/SQRT(3)*4.303</f>
        <v>0</v>
      </c>
      <c r="U100" s="4">
        <f t="shared" ref="U100:U105" si="87">STDEV(C100:E100)/SQRT(3)*4.303</f>
        <v>0</v>
      </c>
      <c r="V100" s="4">
        <f t="shared" ref="V100:V105" si="88">STDEV(D100:F100)/SQRT(3)*4.303</f>
        <v>0</v>
      </c>
      <c r="W100" s="4">
        <f t="shared" ref="W100:W105" si="89">STDEV(E100:G100)/SQRT(3)*4.303</f>
        <v>0</v>
      </c>
    </row>
    <row r="101" spans="1:23" x14ac:dyDescent="0.25">
      <c r="A101" s="4">
        <v>1</v>
      </c>
      <c r="B101" s="4" t="e">
        <f>B70</f>
        <v>#REF!</v>
      </c>
      <c r="C101" s="4" t="e">
        <f t="shared" ref="C101:M101" si="90">C70</f>
        <v>#REF!</v>
      </c>
      <c r="D101" s="4" t="e">
        <f t="shared" si="90"/>
        <v>#REF!</v>
      </c>
      <c r="E101" s="4" t="e">
        <f t="shared" si="90"/>
        <v>#REF!</v>
      </c>
      <c r="F101" s="4" t="e">
        <f t="shared" si="90"/>
        <v>#REF!</v>
      </c>
      <c r="G101" s="4" t="e">
        <f t="shared" si="90"/>
        <v>#REF!</v>
      </c>
      <c r="H101" s="4" t="e">
        <f t="shared" si="90"/>
        <v>#REF!</v>
      </c>
      <c r="I101" s="4" t="e">
        <f t="shared" si="90"/>
        <v>#REF!</v>
      </c>
      <c r="J101" s="4" t="e">
        <f t="shared" si="90"/>
        <v>#REF!</v>
      </c>
      <c r="K101" s="4" t="e">
        <f t="shared" si="90"/>
        <v>#REF!</v>
      </c>
      <c r="L101" s="4" t="e">
        <f t="shared" si="90"/>
        <v>#REF!</v>
      </c>
      <c r="M101" s="4" t="e">
        <f t="shared" si="90"/>
        <v>#REF!</v>
      </c>
      <c r="N101" s="4">
        <v>1</v>
      </c>
      <c r="O101" s="4" t="e">
        <f t="shared" ref="O101:O105" si="91">AVERAGE(B101:D101)</f>
        <v>#REF!</v>
      </c>
      <c r="P101" s="4" t="e">
        <f t="shared" ref="P101:P105" si="92">AVERAGE(E101:G101)</f>
        <v>#REF!</v>
      </c>
      <c r="Q101" s="4" t="e">
        <f t="shared" ref="Q101:Q105" si="93">AVERAGE(H101:J101)</f>
        <v>#REF!</v>
      </c>
      <c r="R101" s="4" t="e">
        <f t="shared" ref="R101:R105" si="94">AVERAGE(K101:M101)</f>
        <v>#REF!</v>
      </c>
      <c r="T101" s="4" t="e">
        <f t="shared" ref="T101:T105" si="95">STDEV(B101:D101)/SQRT(3)*4.303</f>
        <v>#REF!</v>
      </c>
      <c r="U101" s="4" t="e">
        <f t="shared" si="87"/>
        <v>#REF!</v>
      </c>
      <c r="V101" s="4" t="e">
        <f t="shared" si="88"/>
        <v>#REF!</v>
      </c>
      <c r="W101" s="4" t="e">
        <f t="shared" si="89"/>
        <v>#REF!</v>
      </c>
    </row>
    <row r="102" spans="1:23" x14ac:dyDescent="0.25">
      <c r="A102" s="4">
        <v>2</v>
      </c>
      <c r="B102" s="4" t="e">
        <f>B74</f>
        <v>#REF!</v>
      </c>
      <c r="C102" s="4" t="e">
        <f t="shared" ref="C102:M102" si="96">C74</f>
        <v>#REF!</v>
      </c>
      <c r="D102" s="4" t="e">
        <f t="shared" si="96"/>
        <v>#REF!</v>
      </c>
      <c r="E102" s="4" t="e">
        <f t="shared" si="96"/>
        <v>#REF!</v>
      </c>
      <c r="F102" s="4" t="e">
        <f t="shared" si="96"/>
        <v>#REF!</v>
      </c>
      <c r="G102" s="4" t="e">
        <f t="shared" si="96"/>
        <v>#REF!</v>
      </c>
      <c r="H102" s="4" t="e">
        <f t="shared" si="96"/>
        <v>#REF!</v>
      </c>
      <c r="I102" s="4" t="e">
        <f t="shared" si="96"/>
        <v>#REF!</v>
      </c>
      <c r="J102" s="4" t="e">
        <f t="shared" si="96"/>
        <v>#REF!</v>
      </c>
      <c r="K102" s="4" t="e">
        <f t="shared" si="96"/>
        <v>#REF!</v>
      </c>
      <c r="L102" s="4" t="e">
        <f t="shared" si="96"/>
        <v>#REF!</v>
      </c>
      <c r="M102" s="4" t="e">
        <f t="shared" si="96"/>
        <v>#REF!</v>
      </c>
      <c r="N102" s="4">
        <v>2</v>
      </c>
      <c r="O102" s="4" t="e">
        <f t="shared" si="91"/>
        <v>#REF!</v>
      </c>
      <c r="P102" s="4" t="e">
        <f t="shared" si="92"/>
        <v>#REF!</v>
      </c>
      <c r="Q102" s="4" t="e">
        <f t="shared" si="93"/>
        <v>#REF!</v>
      </c>
      <c r="R102" s="4" t="e">
        <f t="shared" si="94"/>
        <v>#REF!</v>
      </c>
      <c r="T102" s="4" t="e">
        <f t="shared" si="95"/>
        <v>#REF!</v>
      </c>
      <c r="U102" s="4" t="e">
        <f t="shared" si="87"/>
        <v>#REF!</v>
      </c>
      <c r="V102" s="4" t="e">
        <f t="shared" si="88"/>
        <v>#REF!</v>
      </c>
      <c r="W102" s="4" t="e">
        <f t="shared" si="89"/>
        <v>#REF!</v>
      </c>
    </row>
    <row r="103" spans="1:23" x14ac:dyDescent="0.25">
      <c r="A103" s="4">
        <v>3</v>
      </c>
      <c r="B103" s="4" t="e">
        <f>B78</f>
        <v>#REF!</v>
      </c>
      <c r="C103" s="4" t="e">
        <f t="shared" ref="C103:M103" si="97">C78</f>
        <v>#REF!</v>
      </c>
      <c r="D103" s="4" t="e">
        <f t="shared" si="97"/>
        <v>#REF!</v>
      </c>
      <c r="E103" s="4" t="e">
        <f t="shared" si="97"/>
        <v>#REF!</v>
      </c>
      <c r="F103" s="4" t="e">
        <f t="shared" si="97"/>
        <v>#REF!</v>
      </c>
      <c r="G103" s="4" t="e">
        <f t="shared" si="97"/>
        <v>#REF!</v>
      </c>
      <c r="H103" s="4" t="e">
        <f t="shared" si="97"/>
        <v>#REF!</v>
      </c>
      <c r="I103" s="4" t="e">
        <f t="shared" si="97"/>
        <v>#REF!</v>
      </c>
      <c r="J103" s="4" t="e">
        <f t="shared" si="97"/>
        <v>#REF!</v>
      </c>
      <c r="K103" s="4" t="e">
        <f t="shared" si="97"/>
        <v>#REF!</v>
      </c>
      <c r="L103" s="4" t="e">
        <f t="shared" si="97"/>
        <v>#REF!</v>
      </c>
      <c r="M103" s="4" t="e">
        <f t="shared" si="97"/>
        <v>#REF!</v>
      </c>
      <c r="N103" s="4">
        <v>3</v>
      </c>
      <c r="O103" s="4" t="e">
        <f t="shared" si="91"/>
        <v>#REF!</v>
      </c>
      <c r="P103" s="4" t="e">
        <f t="shared" si="92"/>
        <v>#REF!</v>
      </c>
      <c r="Q103" s="4" t="e">
        <f t="shared" si="93"/>
        <v>#REF!</v>
      </c>
      <c r="R103" s="4" t="e">
        <f t="shared" si="94"/>
        <v>#REF!</v>
      </c>
      <c r="T103" s="4" t="e">
        <f t="shared" si="95"/>
        <v>#REF!</v>
      </c>
      <c r="U103" s="4" t="e">
        <f t="shared" si="87"/>
        <v>#REF!</v>
      </c>
      <c r="V103" s="4" t="e">
        <f t="shared" si="88"/>
        <v>#REF!</v>
      </c>
      <c r="W103" s="4" t="e">
        <f t="shared" si="89"/>
        <v>#REF!</v>
      </c>
    </row>
    <row r="104" spans="1:23" x14ac:dyDescent="0.25">
      <c r="A104" s="4">
        <v>4</v>
      </c>
      <c r="B104" s="4" t="e">
        <f>B82</f>
        <v>#REF!</v>
      </c>
      <c r="C104" s="4" t="e">
        <f t="shared" ref="C104:M104" si="98">C82</f>
        <v>#REF!</v>
      </c>
      <c r="D104" s="4" t="e">
        <f t="shared" si="98"/>
        <v>#REF!</v>
      </c>
      <c r="E104" s="4" t="e">
        <f t="shared" si="98"/>
        <v>#REF!</v>
      </c>
      <c r="F104" s="4" t="e">
        <f t="shared" si="98"/>
        <v>#REF!</v>
      </c>
      <c r="G104" s="4" t="e">
        <f t="shared" si="98"/>
        <v>#REF!</v>
      </c>
      <c r="H104" s="4" t="e">
        <f t="shared" si="98"/>
        <v>#REF!</v>
      </c>
      <c r="I104" s="4" t="e">
        <f t="shared" si="98"/>
        <v>#REF!</v>
      </c>
      <c r="J104" s="4" t="e">
        <f t="shared" si="98"/>
        <v>#REF!</v>
      </c>
      <c r="K104" s="4" t="e">
        <f t="shared" si="98"/>
        <v>#REF!</v>
      </c>
      <c r="L104" s="4" t="e">
        <f t="shared" si="98"/>
        <v>#REF!</v>
      </c>
      <c r="M104" s="4" t="e">
        <f t="shared" si="98"/>
        <v>#REF!</v>
      </c>
      <c r="N104" s="4">
        <v>4</v>
      </c>
      <c r="O104" s="4" t="e">
        <f t="shared" si="91"/>
        <v>#REF!</v>
      </c>
      <c r="P104" s="4" t="e">
        <f t="shared" si="92"/>
        <v>#REF!</v>
      </c>
      <c r="Q104" s="4" t="e">
        <f t="shared" si="93"/>
        <v>#REF!</v>
      </c>
      <c r="R104" s="4" t="e">
        <f t="shared" si="94"/>
        <v>#REF!</v>
      </c>
      <c r="T104" s="4" t="e">
        <f t="shared" si="95"/>
        <v>#REF!</v>
      </c>
      <c r="U104" s="4" t="e">
        <f t="shared" si="87"/>
        <v>#REF!</v>
      </c>
      <c r="V104" s="4" t="e">
        <f t="shared" si="88"/>
        <v>#REF!</v>
      </c>
      <c r="W104" s="4" t="e">
        <f t="shared" si="89"/>
        <v>#REF!</v>
      </c>
    </row>
    <row r="105" spans="1:23" x14ac:dyDescent="0.25">
      <c r="A105" s="4">
        <v>5</v>
      </c>
      <c r="B105" s="4" t="e">
        <f>B86</f>
        <v>#REF!</v>
      </c>
      <c r="C105" s="4" t="e">
        <f t="shared" ref="C105:M105" si="99">C86</f>
        <v>#REF!</v>
      </c>
      <c r="D105" s="4" t="e">
        <f t="shared" si="99"/>
        <v>#REF!</v>
      </c>
      <c r="E105" s="4" t="e">
        <f t="shared" si="99"/>
        <v>#REF!</v>
      </c>
      <c r="F105" s="4" t="e">
        <f t="shared" si="99"/>
        <v>#REF!</v>
      </c>
      <c r="G105" s="4" t="e">
        <f t="shared" si="99"/>
        <v>#REF!</v>
      </c>
      <c r="H105" s="4" t="e">
        <f t="shared" si="99"/>
        <v>#REF!</v>
      </c>
      <c r="I105" s="4" t="e">
        <f t="shared" si="99"/>
        <v>#REF!</v>
      </c>
      <c r="J105" s="4" t="e">
        <f t="shared" si="99"/>
        <v>#REF!</v>
      </c>
      <c r="K105" s="4" t="e">
        <f t="shared" si="99"/>
        <v>#REF!</v>
      </c>
      <c r="L105" s="4" t="e">
        <f t="shared" si="99"/>
        <v>#REF!</v>
      </c>
      <c r="M105" s="4" t="e">
        <f t="shared" si="99"/>
        <v>#REF!</v>
      </c>
      <c r="N105" s="4">
        <v>5</v>
      </c>
      <c r="O105" s="4" t="e">
        <f t="shared" si="91"/>
        <v>#REF!</v>
      </c>
      <c r="P105" s="4" t="e">
        <f t="shared" si="92"/>
        <v>#REF!</v>
      </c>
      <c r="Q105" s="4" t="e">
        <f t="shared" si="93"/>
        <v>#REF!</v>
      </c>
      <c r="R105" s="4" t="e">
        <f t="shared" si="94"/>
        <v>#REF!</v>
      </c>
      <c r="T105" s="4" t="e">
        <f t="shared" si="95"/>
        <v>#REF!</v>
      </c>
      <c r="U105" s="4" t="e">
        <f t="shared" si="87"/>
        <v>#REF!</v>
      </c>
      <c r="V105" s="4" t="e">
        <f t="shared" si="88"/>
        <v>#REF!</v>
      </c>
      <c r="W105" s="4" t="e">
        <f t="shared" si="89"/>
        <v>#REF!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Inoc prep</vt:lpstr>
      <vt:lpstr>Media</vt:lpstr>
      <vt:lpstr>Sampling</vt:lpstr>
      <vt:lpstr>Summary OD</vt:lpstr>
      <vt:lpstr>Kinetics</vt:lpstr>
      <vt:lpstr>OD</vt:lpstr>
      <vt:lpstr>Thiamine Samples</vt:lpstr>
      <vt:lpstr>pH</vt:lpstr>
      <vt:lpstr>Metabolomics Coding</vt:lpstr>
      <vt:lpstr>HPLC 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Lab1339</dc:creator>
  <cp:lastModifiedBy>user</cp:lastModifiedBy>
  <cp:lastPrinted>2012-05-25T17:52:51Z</cp:lastPrinted>
  <dcterms:created xsi:type="dcterms:W3CDTF">2011-12-12T01:20:58Z</dcterms:created>
  <dcterms:modified xsi:type="dcterms:W3CDTF">2016-05-16T19:24:59Z</dcterms:modified>
</cp:coreProperties>
</file>